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BEXBUD\FY21 Budget\DESE_DHEWD_Accessible_Excel\"/>
    </mc:Choice>
  </mc:AlternateContent>
  <bookViews>
    <workbookView xWindow="240" yWindow="75" windowWidth="14805" windowHeight="8520"/>
  </bookViews>
  <sheets>
    <sheet name="Main" sheetId="1" r:id="rId1"/>
    <sheet name="Financial &amp; Admin Srvcs" sheetId="4" r:id="rId2"/>
    <sheet name="Public School Aid" sheetId="5" r:id="rId3"/>
    <sheet name="Learning Services" sheetId="6" r:id="rId4"/>
    <sheet name="Board Operated Schools" sheetId="7" r:id="rId5"/>
    <sheet name="MO Charter Public Commission" sheetId="11" r:id="rId6"/>
    <sheet name="Deaf &amp; Hard of Hearing" sheetId="8" r:id="rId7"/>
    <sheet name="Assistive Tech Council" sheetId="9" r:id="rId8"/>
  </sheets>
  <definedNames>
    <definedName name="ColumnTitle">Main!$A$1</definedName>
    <definedName name="ColumnTitle2">'Financial &amp; Admin Srvcs'!$A$1</definedName>
    <definedName name="ColumnTitle3">'Public School Aid'!$A$1</definedName>
    <definedName name="ColumnTitle4">'Learning Services'!$A$1</definedName>
    <definedName name="ColumnTitle5">'Board Operated Schools'!$A$1</definedName>
    <definedName name="ColumnTitle6">'MO Charter Public Commission'!$A$1</definedName>
    <definedName name="ColumnTitle7">'Deaf &amp; Hard of Hearing'!$A$1</definedName>
    <definedName name="ColumnTitle8">'Assistive Tech Council'!$A$1</definedName>
    <definedName name="_xlnm.Print_Area" localSheetId="0">Main!$A$1:$G$37</definedName>
  </definedNames>
  <calcPr calcId="162913"/>
</workbook>
</file>

<file path=xl/calcChain.xml><?xml version="1.0" encoding="utf-8"?>
<calcChain xmlns="http://schemas.openxmlformats.org/spreadsheetml/2006/main">
  <c r="F5" i="5" l="1"/>
  <c r="F5" i="4"/>
  <c r="F32" i="1"/>
  <c r="F16" i="1"/>
  <c r="F27" i="1"/>
  <c r="F6" i="1"/>
  <c r="F7" i="1"/>
  <c r="E37" i="1" l="1"/>
  <c r="C37" i="1"/>
  <c r="B37" i="1"/>
  <c r="D32" i="6"/>
  <c r="C32" i="6"/>
  <c r="C32" i="1"/>
  <c r="C16" i="1"/>
  <c r="E27" i="1" l="1"/>
  <c r="C27" i="1"/>
  <c r="B27" i="1"/>
  <c r="E24" i="1"/>
  <c r="C24" i="1"/>
  <c r="B24" i="1"/>
  <c r="E16" i="1"/>
  <c r="B16" i="1"/>
  <c r="D8" i="9" l="1"/>
  <c r="C8" i="9"/>
  <c r="D8" i="8"/>
  <c r="D9" i="11"/>
  <c r="D12" i="7"/>
  <c r="C12" i="7"/>
  <c r="D22" i="5"/>
  <c r="E7" i="1"/>
  <c r="C7" i="1"/>
  <c r="B7" i="1"/>
  <c r="E6" i="1"/>
  <c r="C6" i="1"/>
  <c r="B6" i="1"/>
  <c r="D5" i="5"/>
  <c r="C5" i="5"/>
  <c r="C22" i="5"/>
  <c r="D14" i="4"/>
  <c r="D13" i="4"/>
  <c r="D5" i="4"/>
  <c r="F27" i="6" l="1"/>
  <c r="D27" i="6"/>
  <c r="C27" i="6"/>
  <c r="F11" i="4"/>
  <c r="D11" i="4"/>
  <c r="C11" i="4"/>
  <c r="F20" i="5" l="1"/>
  <c r="D20" i="5" l="1"/>
  <c r="C20" i="5" l="1"/>
  <c r="F14" i="1" l="1"/>
  <c r="E14" i="1"/>
  <c r="C14" i="1"/>
  <c r="B14" i="1"/>
  <c r="F34" i="1" l="1"/>
  <c r="E34" i="1"/>
  <c r="C34" i="1"/>
  <c r="B34" i="1"/>
  <c r="F9" i="7"/>
  <c r="D9" i="7"/>
  <c r="C9" i="7"/>
</calcChain>
</file>

<file path=xl/sharedStrings.xml><?xml version="1.0" encoding="utf-8"?>
<sst xmlns="http://schemas.openxmlformats.org/spreadsheetml/2006/main" count="179" uniqueCount="89">
  <si>
    <t>EXPENDITURE</t>
  </si>
  <si>
    <t>APPROPRIATION</t>
  </si>
  <si>
    <t>REQUEST</t>
  </si>
  <si>
    <t>GOVERNOR</t>
  </si>
  <si>
    <t>RECOMMENDS</t>
  </si>
  <si>
    <t>Total Full-time Equivalent Employees</t>
  </si>
  <si>
    <t>General Revenue Fund</t>
  </si>
  <si>
    <t>Federal Funds</t>
  </si>
  <si>
    <t>Other Funds</t>
  </si>
  <si>
    <t>DEPARTMENTAL TOTAL</t>
  </si>
  <si>
    <t>School District Bond Fund</t>
  </si>
  <si>
    <t>Bingo Proceeds for Education Fund</t>
  </si>
  <si>
    <t>Lottery Proceeds Fund</t>
  </si>
  <si>
    <t>Excellence in Education Fund</t>
  </si>
  <si>
    <t>Missouri Commission for the Deaf</t>
  </si>
  <si>
    <t>Early Childhood Development,</t>
  </si>
  <si>
    <t>Education and Care Fund</t>
  </si>
  <si>
    <t>Other Public School Aid</t>
  </si>
  <si>
    <t>Missouri Assistive Technology Council Funds</t>
  </si>
  <si>
    <t>Financial and Administrative Services</t>
  </si>
  <si>
    <t>Division of Learning Services</t>
  </si>
  <si>
    <t>Board Operated Schools</t>
  </si>
  <si>
    <t>Missouri Commission for the Deaf and Hard of Hearing</t>
  </si>
  <si>
    <t>Missouri Assistive Technology Council</t>
  </si>
  <si>
    <t>Foundation Formula</t>
  </si>
  <si>
    <t>School District Bond Program</t>
  </si>
  <si>
    <t>Federal Grants and Donations</t>
  </si>
  <si>
    <t>TOTAL</t>
  </si>
  <si>
    <t>Foundation - Formula</t>
  </si>
  <si>
    <t>Foundation - Small Schools Program</t>
  </si>
  <si>
    <t>Foundation - Transportation</t>
  </si>
  <si>
    <t>Foundation - Early Childhood Special Education</t>
  </si>
  <si>
    <t>Foundation - Career Education</t>
  </si>
  <si>
    <t>School District Trust Fund</t>
  </si>
  <si>
    <t>Critical Needs/Professional Development</t>
  </si>
  <si>
    <t>Urban Teaching Program</t>
  </si>
  <si>
    <t>Excellence In Education Fund</t>
  </si>
  <si>
    <t>Title I Academic Standards and Assessments</t>
  </si>
  <si>
    <t>Scholars and Fine Arts Academies</t>
  </si>
  <si>
    <t>Early Childhood Program</t>
  </si>
  <si>
    <t>Performance Based Assessment</t>
  </si>
  <si>
    <t>Title II Improve Teacher Quality</t>
  </si>
  <si>
    <t>Title III, Part A - Language Acquisition</t>
  </si>
  <si>
    <t>Federal Refugees</t>
  </si>
  <si>
    <t>Character Education Initiatives</t>
  </si>
  <si>
    <t>Vocational Rehabilitation</t>
  </si>
  <si>
    <t>Career Education</t>
  </si>
  <si>
    <t>Special Education</t>
  </si>
  <si>
    <t>Handicapped Children's Trust Fund</t>
  </si>
  <si>
    <t>Missouri Public Charter School Commission</t>
  </si>
  <si>
    <t>*</t>
  </si>
  <si>
    <t>School Nutrition Services</t>
  </si>
  <si>
    <t>Stephen M Ferman Memorial for Gifted Education</t>
  </si>
  <si>
    <t>Right from the Start</t>
  </si>
  <si>
    <t>Teacher of the Year</t>
  </si>
  <si>
    <t>Foundation - Early Childhood Development/PAT</t>
  </si>
  <si>
    <t>Homeless and Comprehensive School Health</t>
  </si>
  <si>
    <t>Title V, Part B - Rural and Low-Income Schools</t>
  </si>
  <si>
    <t>Dyslexia Programs</t>
  </si>
  <si>
    <t>Title IV, Part A - Student Support/Academic Enrichment</t>
  </si>
  <si>
    <t>FY 2019</t>
  </si>
  <si>
    <t>School Broadband Fund -Transfer</t>
  </si>
  <si>
    <t>Missouri Charter Public School Commission</t>
  </si>
  <si>
    <t>State Legal Expense Fund Transfer</t>
  </si>
  <si>
    <t>FY 2020</t>
  </si>
  <si>
    <r>
      <t xml:space="preserve">Outstanding Schools Trust Fund </t>
    </r>
    <r>
      <rPr>
        <vertAlign val="superscript"/>
        <sz val="10.5"/>
        <color theme="1"/>
        <rFont val="Calibri"/>
        <family val="2"/>
        <scheme val="minor"/>
      </rPr>
      <t>1</t>
    </r>
  </si>
  <si>
    <r>
      <t xml:space="preserve">School District Trust Fund </t>
    </r>
    <r>
      <rPr>
        <vertAlign val="superscript"/>
        <sz val="10.5"/>
        <color theme="1"/>
        <rFont val="Calibri"/>
        <family val="2"/>
        <scheme val="minor"/>
      </rPr>
      <t>3</t>
    </r>
  </si>
  <si>
    <r>
      <t xml:space="preserve">Classroom Trust Fund </t>
    </r>
    <r>
      <rPr>
        <vertAlign val="superscript"/>
        <sz val="10.5"/>
        <color theme="1"/>
        <rFont val="Calibri"/>
        <family val="2"/>
        <scheme val="minor"/>
      </rPr>
      <t>4</t>
    </r>
  </si>
  <si>
    <t>School Board Training</t>
  </si>
  <si>
    <t>Public School Disaster Relief</t>
  </si>
  <si>
    <t>Missouri Healthy Schools</t>
  </si>
  <si>
    <t>High School Equivalency</t>
  </si>
  <si>
    <t>STEM Awareness Program</t>
  </si>
  <si>
    <t>Computer Science Education Program</t>
  </si>
  <si>
    <t>Early Grade Reading Assessments</t>
  </si>
  <si>
    <t>Missouri Course Access and Virtual School Program</t>
  </si>
  <si>
    <t>School for Deaf Trust Fund</t>
  </si>
  <si>
    <t>School for Blind Trust Fund</t>
  </si>
  <si>
    <t>Missouri Charter Public School Commission Funds</t>
  </si>
  <si>
    <t>and Hard of Hearing Funds</t>
  </si>
  <si>
    <t>Part C Early Intervention System Fund</t>
  </si>
  <si>
    <t>FY 2021</t>
  </si>
  <si>
    <t>Community In Schools</t>
  </si>
  <si>
    <r>
      <t xml:space="preserve">State School Moneys Fund </t>
    </r>
    <r>
      <rPr>
        <vertAlign val="superscript"/>
        <sz val="10.5"/>
        <color theme="1"/>
        <rFont val="Calibri"/>
        <family val="2"/>
        <scheme val="minor"/>
      </rPr>
      <t>2</t>
    </r>
  </si>
  <si>
    <t>Does not include $40,518,752 recommended in the Fiscal Year 2020 Supplemental Appropriations.  See the Supplemental section of the Missouri Budget for details regarding the Department of Elementary and Secondary Education supplemental appropriations.</t>
  </si>
  <si>
    <t>Outstanding Schools Trust Fund receives transfers from general revenue.</t>
  </si>
  <si>
    <t>State School Moneys Fund receives transfers from General Revenue-County Foreign Insurance Tax, The Fair Share Fund, and revenues from cigarette taxes.</t>
  </si>
  <si>
    <t>School District Trust Fund receives revenues generated by a one cent sales tax (Proposition C).</t>
  </si>
  <si>
    <t>Classroom Trust Fund receives transfers from the Gaming Proceeds for Education Fund and unclaimed lottery prizes.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</si>
</sst>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"/>
    <numFmt numFmtId="165" formatCode="_(* #,##0_);_(* \(#,##0\)"/>
    <numFmt numFmtId="166" formatCode="_(* #,##0.00_);_(* \(#,##0.00\)"/>
    <numFmt numFmtId="167" formatCode="#,##0.00_)"/>
    <numFmt numFmtId="168" formatCode="0.0%"/>
  </numFmts>
  <fonts count="14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u val="singleAccounting"/>
      <sz val="10.5"/>
      <color theme="1"/>
      <name val="Calibri"/>
      <family val="2"/>
      <scheme val="minor"/>
    </font>
    <font>
      <vertAlign val="superscript"/>
      <sz val="10.5"/>
      <color theme="1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0.5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165" fontId="4" fillId="0" borderId="0" xfId="0" applyNumberFormat="1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165" fontId="6" fillId="0" borderId="0" xfId="0" applyNumberFormat="1" applyFont="1" applyAlignment="1" applyProtection="1">
      <protection locked="0"/>
    </xf>
    <xf numFmtId="0" fontId="4" fillId="0" borderId="0" xfId="0" applyFont="1" applyAlignment="1" applyProtection="1">
      <alignment horizontal="left" vertical="center" indent="2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wrapText="1"/>
    </xf>
    <xf numFmtId="168" fontId="4" fillId="0" borderId="0" xfId="1" applyNumberFormat="1" applyFont="1" applyProtection="1">
      <protection locked="0"/>
    </xf>
    <xf numFmtId="41" fontId="10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indent="2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left" vertical="center" indent="2"/>
      <protection locked="0"/>
    </xf>
    <xf numFmtId="0" fontId="4" fillId="0" borderId="6" xfId="0" applyFont="1" applyBorder="1" applyAlignment="1" applyProtection="1">
      <alignment horizontal="left" vertical="center" indent="2"/>
      <protection locked="0"/>
    </xf>
    <xf numFmtId="0" fontId="4" fillId="0" borderId="0" xfId="0" applyNumberFormat="1" applyFont="1" applyAlignment="1" applyProtection="1">
      <protection locked="0"/>
    </xf>
    <xf numFmtId="2" fontId="4" fillId="0" borderId="0" xfId="0" applyNumberFormat="1" applyFont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164" fontId="4" fillId="3" borderId="0" xfId="0" applyNumberFormat="1" applyFont="1" applyFill="1" applyAlignment="1" applyProtection="1">
      <protection locked="0"/>
    </xf>
    <xf numFmtId="0" fontId="4" fillId="3" borderId="0" xfId="0" applyFont="1" applyFill="1" applyAlignment="1" applyProtection="1">
      <protection locked="0"/>
    </xf>
    <xf numFmtId="165" fontId="4" fillId="3" borderId="0" xfId="0" applyNumberFormat="1" applyFont="1" applyFill="1" applyAlignment="1" applyProtection="1"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5" fillId="3" borderId="0" xfId="0" applyFont="1" applyFill="1" applyAlignment="1" applyProtection="1">
      <alignment vertical="center"/>
      <protection locked="0"/>
    </xf>
    <xf numFmtId="164" fontId="5" fillId="3" borderId="0" xfId="0" applyNumberFormat="1" applyFont="1" applyFill="1" applyAlignment="1" applyProtection="1"/>
    <xf numFmtId="0" fontId="4" fillId="3" borderId="0" xfId="0" applyFont="1" applyFill="1" applyAlignment="1" applyProtection="1">
      <alignment horizontal="left" vertical="center" indent="2"/>
      <protection locked="0"/>
    </xf>
    <xf numFmtId="0" fontId="5" fillId="4" borderId="1" xfId="0" applyFont="1" applyFill="1" applyBorder="1" applyAlignment="1" applyProtection="1">
      <alignment vertical="center"/>
      <protection locked="0"/>
    </xf>
    <xf numFmtId="0" fontId="5" fillId="4" borderId="3" xfId="0" applyFont="1" applyFill="1" applyBorder="1" applyAlignment="1" applyProtection="1">
      <alignment vertical="center"/>
      <protection locked="0"/>
    </xf>
    <xf numFmtId="0" fontId="4" fillId="4" borderId="5" xfId="0" applyFont="1" applyFill="1" applyBorder="1" applyAlignment="1" applyProtection="1">
      <alignment vertical="center"/>
      <protection locked="0"/>
    </xf>
    <xf numFmtId="0" fontId="5" fillId="4" borderId="9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Protection="1">
      <protection locked="0"/>
    </xf>
    <xf numFmtId="167" fontId="5" fillId="4" borderId="10" xfId="0" applyNumberFormat="1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4" fillId="4" borderId="11" xfId="0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left" vertical="center" indent="2"/>
      <protection locked="0"/>
    </xf>
    <xf numFmtId="0" fontId="4" fillId="3" borderId="0" xfId="0" applyNumberFormat="1" applyFont="1" applyFill="1" applyAlignment="1" applyProtection="1">
      <protection locked="0"/>
    </xf>
    <xf numFmtId="0" fontId="5" fillId="3" borderId="0" xfId="0" applyFont="1" applyFill="1" applyAlignment="1" applyProtection="1">
      <protection locked="0"/>
    </xf>
    <xf numFmtId="0" fontId="4" fillId="3" borderId="0" xfId="0" applyFont="1" applyFill="1" applyAlignment="1" applyProtection="1">
      <alignment horizontal="left" indent="2"/>
      <protection locked="0"/>
    </xf>
    <xf numFmtId="0" fontId="4" fillId="3" borderId="0" xfId="0" applyFont="1" applyFill="1" applyProtection="1">
      <protection locked="0"/>
    </xf>
    <xf numFmtId="164" fontId="5" fillId="3" borderId="0" xfId="0" applyNumberFormat="1" applyFont="1" applyFill="1" applyAlignment="1" applyProtection="1">
      <protection locked="0"/>
    </xf>
    <xf numFmtId="0" fontId="4" fillId="5" borderId="0" xfId="0" applyFont="1" applyFill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protection locked="0"/>
    </xf>
    <xf numFmtId="165" fontId="4" fillId="0" borderId="0" xfId="0" applyNumberFormat="1" applyFont="1" applyFill="1" applyAlignment="1" applyProtection="1">
      <protection locked="0"/>
    </xf>
    <xf numFmtId="0" fontId="4" fillId="0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4" fillId="0" borderId="0" xfId="0" applyNumberFormat="1" applyFont="1" applyFill="1" applyAlignment="1" applyProtection="1">
      <protection locked="0"/>
    </xf>
    <xf numFmtId="166" fontId="5" fillId="4" borderId="2" xfId="0" applyNumberFormat="1" applyFont="1" applyFill="1" applyBorder="1" applyAlignment="1" applyProtection="1">
      <alignment vertical="center"/>
    </xf>
    <xf numFmtId="0" fontId="5" fillId="4" borderId="2" xfId="0" applyFont="1" applyFill="1" applyBorder="1" applyAlignment="1" applyProtection="1">
      <alignment vertical="center"/>
      <protection locked="0"/>
    </xf>
    <xf numFmtId="166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66" fontId="4" fillId="4" borderId="0" xfId="0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166" fontId="4" fillId="0" borderId="7" xfId="0" applyNumberFormat="1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166" fontId="5" fillId="4" borderId="1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 indent="2"/>
      <protection locked="0"/>
    </xf>
    <xf numFmtId="0" fontId="4" fillId="0" borderId="0" xfId="0" applyFont="1" applyFill="1" applyAlignment="1" applyProtection="1">
      <alignment horizontal="left" indent="2"/>
      <protection locked="0"/>
    </xf>
    <xf numFmtId="166" fontId="4" fillId="4" borderId="11" xfId="0" applyNumberFormat="1" applyFont="1" applyFill="1" applyBorder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indent="1"/>
      <protection locked="0"/>
    </xf>
    <xf numFmtId="165" fontId="4" fillId="0" borderId="0" xfId="0" applyNumberFormat="1" applyFont="1" applyAlignment="1" applyProtection="1">
      <alignment vertical="center" wrapText="1"/>
      <protection locked="0"/>
    </xf>
    <xf numFmtId="168" fontId="4" fillId="0" borderId="0" xfId="0" applyNumberFormat="1" applyFont="1" applyProtection="1">
      <protection locked="0"/>
    </xf>
    <xf numFmtId="165" fontId="4" fillId="0" borderId="0" xfId="0" applyNumberFormat="1" applyFont="1" applyFill="1" applyProtection="1">
      <protection locked="0"/>
    </xf>
    <xf numFmtId="165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164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protection locked="0"/>
    </xf>
    <xf numFmtId="165" fontId="4" fillId="3" borderId="0" xfId="0" applyNumberFormat="1" applyFont="1" applyFill="1" applyProtection="1">
      <protection locked="0"/>
    </xf>
    <xf numFmtId="166" fontId="4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Protection="1">
      <protection locked="0"/>
    </xf>
    <xf numFmtId="165" fontId="6" fillId="0" borderId="0" xfId="0" applyNumberFormat="1" applyFont="1" applyFill="1" applyAlignment="1" applyProtection="1">
      <alignment vertical="center"/>
      <protection locked="0"/>
    </xf>
    <xf numFmtId="164" fontId="5" fillId="0" borderId="0" xfId="0" applyNumberFormat="1" applyFont="1" applyFill="1" applyAlignment="1" applyProtection="1"/>
    <xf numFmtId="0" fontId="5" fillId="0" borderId="0" xfId="0" applyFont="1" applyFill="1" applyAlignment="1" applyProtection="1">
      <alignment horizontal="left"/>
      <protection locked="0"/>
    </xf>
    <xf numFmtId="165" fontId="6" fillId="3" borderId="0" xfId="0" applyNumberFormat="1" applyFont="1" applyFill="1" applyAlignment="1" applyProtection="1">
      <protection locked="0"/>
    </xf>
    <xf numFmtId="165" fontId="4" fillId="3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 applyProtection="1"/>
    <xf numFmtId="41" fontId="4" fillId="3" borderId="0" xfId="0" applyNumberFormat="1" applyFont="1" applyFill="1" applyAlignment="1" applyProtection="1"/>
    <xf numFmtId="0" fontId="4" fillId="3" borderId="0" xfId="0" applyFont="1" applyFill="1" applyAlignment="1" applyProtection="1">
      <alignment horizontal="left" vertical="center" indent="3"/>
      <protection locked="0"/>
    </xf>
    <xf numFmtId="165" fontId="10" fillId="0" borderId="0" xfId="0" applyNumberFormat="1" applyFont="1" applyAlignment="1" applyProtection="1">
      <alignment vertical="center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165" fontId="6" fillId="3" borderId="0" xfId="0" applyNumberFormat="1" applyFont="1" applyFill="1" applyAlignment="1" applyProtection="1">
      <alignment vertical="top"/>
      <protection locked="0"/>
    </xf>
    <xf numFmtId="44" fontId="4" fillId="3" borderId="0" xfId="0" applyNumberFormat="1" applyFont="1" applyFill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1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27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tabSelected="1" zoomScaleNormal="100" workbookViewId="0">
      <pane ySplit="3" topLeftCell="A4" activePane="bottomLeft" state="frozen"/>
      <selection pane="bottomLeft"/>
    </sheetView>
  </sheetViews>
  <sheetFormatPr defaultColWidth="8.75" defaultRowHeight="14.25" x14ac:dyDescent="0.25"/>
  <cols>
    <col min="1" max="1" width="41.5" style="5" customWidth="1"/>
    <col min="2" max="3" width="13.625" style="5" customWidth="1"/>
    <col min="4" max="4" width="1.625" style="5" customWidth="1"/>
    <col min="5" max="6" width="13.625" style="5" customWidth="1"/>
    <col min="7" max="7" width="1.625" style="5" customWidth="1"/>
    <col min="8" max="16384" width="8.75" style="5"/>
  </cols>
  <sheetData>
    <row r="1" spans="1:8" ht="12" customHeight="1" x14ac:dyDescent="0.25">
      <c r="A1" s="25"/>
      <c r="B1" s="27"/>
      <c r="C1" s="27"/>
      <c r="D1" s="27"/>
      <c r="E1" s="27"/>
      <c r="F1" s="27" t="s">
        <v>81</v>
      </c>
      <c r="G1" s="37"/>
    </row>
    <row r="2" spans="1:8" ht="12" customHeight="1" x14ac:dyDescent="0.25">
      <c r="A2" s="29"/>
      <c r="B2" s="31" t="s">
        <v>60</v>
      </c>
      <c r="C2" s="31" t="s">
        <v>64</v>
      </c>
      <c r="D2" s="31"/>
      <c r="E2" s="31" t="s">
        <v>81</v>
      </c>
      <c r="F2" s="31" t="s">
        <v>3</v>
      </c>
      <c r="G2" s="38"/>
    </row>
    <row r="3" spans="1:8" ht="12" customHeight="1" thickBot="1" x14ac:dyDescent="0.3">
      <c r="A3" s="33"/>
      <c r="B3" s="35" t="s">
        <v>0</v>
      </c>
      <c r="C3" s="35" t="s">
        <v>1</v>
      </c>
      <c r="D3" s="35"/>
      <c r="E3" s="35" t="s">
        <v>2</v>
      </c>
      <c r="F3" s="35" t="s">
        <v>4</v>
      </c>
      <c r="G3" s="39"/>
    </row>
    <row r="4" spans="1:8" ht="12" customHeight="1" x14ac:dyDescent="0.25"/>
    <row r="5" spans="1:8" ht="12" customHeight="1" x14ac:dyDescent="0.25">
      <c r="A5" s="40" t="s">
        <v>19</v>
      </c>
      <c r="B5" s="41">
        <v>304445683</v>
      </c>
      <c r="C5" s="41">
        <v>342105012</v>
      </c>
      <c r="D5" s="42"/>
      <c r="E5" s="41">
        <v>342147642</v>
      </c>
      <c r="F5" s="41">
        <v>342329947</v>
      </c>
      <c r="G5" s="6"/>
      <c r="H5" s="16"/>
    </row>
    <row r="6" spans="1:8" ht="12" customHeight="1" x14ac:dyDescent="0.25">
      <c r="A6" s="6" t="s">
        <v>24</v>
      </c>
      <c r="B6" s="8">
        <f>2501574080+965011878</f>
        <v>3466585958</v>
      </c>
      <c r="C6" s="8">
        <f>2547987378+1005224507</f>
        <v>3553211885</v>
      </c>
      <c r="D6" s="9"/>
      <c r="E6" s="8">
        <f>2558001727+1005224507</f>
        <v>3563226234</v>
      </c>
      <c r="F6" s="8">
        <f>2591805921+973508313</f>
        <v>3565314234</v>
      </c>
      <c r="G6" s="6"/>
      <c r="H6" s="16"/>
    </row>
    <row r="7" spans="1:8" ht="12" customHeight="1" x14ac:dyDescent="0.25">
      <c r="A7" s="40" t="s">
        <v>17</v>
      </c>
      <c r="B7" s="43">
        <f>4762573408-2501574080-965011878</f>
        <v>1295987450</v>
      </c>
      <c r="C7" s="43">
        <f>4903168663-2547987378-1005224507</f>
        <v>1349956778</v>
      </c>
      <c r="D7" s="42"/>
      <c r="E7" s="43">
        <f>4991176895-2558001727-1005224507</f>
        <v>1427950661</v>
      </c>
      <c r="F7" s="43">
        <f>4952257016-2591805921-973508313</f>
        <v>1386942782</v>
      </c>
      <c r="G7" s="6"/>
      <c r="H7" s="16"/>
    </row>
    <row r="8" spans="1:8" ht="12" customHeight="1" x14ac:dyDescent="0.25">
      <c r="A8" s="10" t="s">
        <v>20</v>
      </c>
      <c r="B8" s="8">
        <v>849389494</v>
      </c>
      <c r="C8" s="8">
        <v>962048004</v>
      </c>
      <c r="D8" s="7"/>
      <c r="E8" s="8">
        <v>979883178</v>
      </c>
      <c r="F8" s="8">
        <v>983447523</v>
      </c>
      <c r="G8" s="6"/>
      <c r="H8" s="16"/>
    </row>
    <row r="9" spans="1:8" ht="12" customHeight="1" x14ac:dyDescent="0.25">
      <c r="A9" s="44" t="s">
        <v>21</v>
      </c>
      <c r="B9" s="43">
        <v>48778675</v>
      </c>
      <c r="C9" s="43">
        <v>56574982</v>
      </c>
      <c r="D9" s="42"/>
      <c r="E9" s="43">
        <v>57186972</v>
      </c>
      <c r="F9" s="43">
        <v>57386060</v>
      </c>
      <c r="G9" s="6"/>
      <c r="H9" s="16"/>
    </row>
    <row r="10" spans="1:8" ht="12" customHeight="1" x14ac:dyDescent="0.25">
      <c r="A10" s="10" t="s">
        <v>49</v>
      </c>
      <c r="B10" s="8">
        <v>451795</v>
      </c>
      <c r="C10" s="8">
        <v>3578240</v>
      </c>
      <c r="D10" s="7"/>
      <c r="E10" s="8">
        <v>3625892</v>
      </c>
      <c r="F10" s="8">
        <v>3585858</v>
      </c>
      <c r="G10" s="6"/>
      <c r="H10" s="16"/>
    </row>
    <row r="11" spans="1:8" ht="12" customHeight="1" x14ac:dyDescent="0.25">
      <c r="A11" s="40" t="s">
        <v>22</v>
      </c>
      <c r="B11" s="43">
        <v>558741</v>
      </c>
      <c r="C11" s="43">
        <v>1203305</v>
      </c>
      <c r="D11" s="42"/>
      <c r="E11" s="43">
        <v>6215643</v>
      </c>
      <c r="F11" s="43">
        <v>1317159</v>
      </c>
      <c r="G11" s="6"/>
      <c r="H11" s="16"/>
    </row>
    <row r="12" spans="1:8" ht="12" customHeight="1" x14ac:dyDescent="0.25">
      <c r="A12" s="6" t="s">
        <v>23</v>
      </c>
      <c r="B12" s="8">
        <v>2607726</v>
      </c>
      <c r="C12" s="8">
        <v>4367384</v>
      </c>
      <c r="D12" s="7"/>
      <c r="E12" s="8">
        <v>4376542</v>
      </c>
      <c r="F12" s="8">
        <v>4381014</v>
      </c>
      <c r="G12" s="6"/>
      <c r="H12" s="16"/>
    </row>
    <row r="13" spans="1:8" s="106" customFormat="1" ht="13.5" customHeight="1" x14ac:dyDescent="0.2">
      <c r="A13" s="103" t="s">
        <v>63</v>
      </c>
      <c r="B13" s="104">
        <v>0</v>
      </c>
      <c r="C13" s="104">
        <v>1</v>
      </c>
      <c r="D13" s="105"/>
      <c r="E13" s="104">
        <v>1</v>
      </c>
      <c r="F13" s="104">
        <v>1</v>
      </c>
    </row>
    <row r="14" spans="1:8" ht="12" customHeight="1" x14ac:dyDescent="0.25">
      <c r="A14" s="87" t="s">
        <v>9</v>
      </c>
      <c r="B14" s="95">
        <f>SUM(B5:B13)</f>
        <v>5968805522</v>
      </c>
      <c r="C14" s="95">
        <f>SUM(C5:C13)</f>
        <v>6273045591</v>
      </c>
      <c r="D14" s="96" t="s">
        <v>50</v>
      </c>
      <c r="E14" s="95">
        <f>SUM(E5:E13)</f>
        <v>6384612765</v>
      </c>
      <c r="F14" s="95">
        <f>SUM(F5:F13)</f>
        <v>6344704578</v>
      </c>
      <c r="G14" s="6"/>
      <c r="H14" s="84"/>
    </row>
    <row r="15" spans="1:8" ht="12" customHeight="1" x14ac:dyDescent="0.25">
      <c r="A15" s="47" t="s">
        <v>6</v>
      </c>
      <c r="B15" s="43">
        <v>3463952716</v>
      </c>
      <c r="C15" s="43">
        <v>3542377186</v>
      </c>
      <c r="D15" s="42"/>
      <c r="E15" s="43">
        <v>3642126631</v>
      </c>
      <c r="F15" s="43">
        <v>3578499068</v>
      </c>
      <c r="G15" s="6"/>
    </row>
    <row r="16" spans="1:8" ht="12" customHeight="1" x14ac:dyDescent="0.25">
      <c r="A16" s="78" t="s">
        <v>7</v>
      </c>
      <c r="B16" s="65">
        <f>86822636+881665310+379580</f>
        <v>968867526</v>
      </c>
      <c r="C16" s="65">
        <f>111470178+1001646228+500000+783338</f>
        <v>1114399744</v>
      </c>
      <c r="D16" s="64"/>
      <c r="E16" s="65">
        <f>114958887+1011290651+500000+788096</f>
        <v>1127537634</v>
      </c>
      <c r="F16" s="65">
        <f>115303864+1020879296+500000+789695</f>
        <v>1137472855</v>
      </c>
      <c r="G16" s="6"/>
    </row>
    <row r="17" spans="1:7" ht="12" customHeight="1" x14ac:dyDescent="0.25">
      <c r="A17" s="47" t="s">
        <v>10</v>
      </c>
      <c r="B17" s="43">
        <v>378541</v>
      </c>
      <c r="C17" s="43">
        <v>492000</v>
      </c>
      <c r="D17" s="42"/>
      <c r="E17" s="43">
        <v>492000</v>
      </c>
      <c r="F17" s="43">
        <v>492000</v>
      </c>
      <c r="G17" s="6"/>
    </row>
    <row r="18" spans="1:7" ht="14.1" customHeight="1" x14ac:dyDescent="0.25">
      <c r="A18" s="79" t="s">
        <v>65</v>
      </c>
      <c r="B18" s="65">
        <v>4980</v>
      </c>
      <c r="C18" s="65">
        <v>81973</v>
      </c>
      <c r="D18" s="64"/>
      <c r="E18" s="65">
        <v>81973</v>
      </c>
      <c r="F18" s="65">
        <v>204068</v>
      </c>
      <c r="G18" s="6"/>
    </row>
    <row r="19" spans="1:7" ht="12" customHeight="1" x14ac:dyDescent="0.25">
      <c r="A19" s="47" t="s">
        <v>11</v>
      </c>
      <c r="B19" s="43">
        <v>1865014</v>
      </c>
      <c r="C19" s="43">
        <v>1876355</v>
      </c>
      <c r="D19" s="42"/>
      <c r="E19" s="43">
        <v>1876355</v>
      </c>
      <c r="F19" s="43">
        <v>1876355</v>
      </c>
      <c r="G19" s="6"/>
    </row>
    <row r="20" spans="1:7" ht="12" customHeight="1" x14ac:dyDescent="0.25">
      <c r="A20" s="78" t="s">
        <v>12</v>
      </c>
      <c r="B20" s="65">
        <v>181599163</v>
      </c>
      <c r="C20" s="65">
        <v>183650997</v>
      </c>
      <c r="D20" s="64"/>
      <c r="E20" s="65">
        <v>183650997</v>
      </c>
      <c r="F20" s="65">
        <v>180290475</v>
      </c>
      <c r="G20" s="6"/>
    </row>
    <row r="21" spans="1:7" s="6" customFormat="1" ht="14.1" customHeight="1" x14ac:dyDescent="0.25">
      <c r="A21" s="59" t="s">
        <v>83</v>
      </c>
      <c r="B21" s="98">
        <v>54816454</v>
      </c>
      <c r="C21" s="98">
        <v>69407907</v>
      </c>
      <c r="D21" s="40"/>
      <c r="E21" s="98">
        <v>69407907</v>
      </c>
      <c r="F21" s="98">
        <v>69285812</v>
      </c>
    </row>
    <row r="22" spans="1:7" ht="12" customHeight="1" x14ac:dyDescent="0.25">
      <c r="A22" s="78" t="s">
        <v>13</v>
      </c>
      <c r="B22" s="65">
        <v>1841231</v>
      </c>
      <c r="C22" s="65">
        <v>2970081</v>
      </c>
      <c r="D22" s="64"/>
      <c r="E22" s="65">
        <v>3010455</v>
      </c>
      <c r="F22" s="65">
        <v>3012639</v>
      </c>
      <c r="G22" s="6"/>
    </row>
    <row r="23" spans="1:7" ht="12" customHeight="1" x14ac:dyDescent="0.25">
      <c r="A23" s="47" t="s">
        <v>66</v>
      </c>
      <c r="B23" s="43">
        <v>913962588</v>
      </c>
      <c r="C23" s="43">
        <v>958400000</v>
      </c>
      <c r="D23" s="42"/>
      <c r="E23" s="43">
        <v>958400000</v>
      </c>
      <c r="F23" s="43">
        <v>972900000</v>
      </c>
      <c r="G23" s="6"/>
    </row>
    <row r="24" spans="1:7" ht="12" customHeight="1" x14ac:dyDescent="0.25">
      <c r="A24" s="78" t="s">
        <v>78</v>
      </c>
      <c r="B24" s="65">
        <f>183983</f>
        <v>183983</v>
      </c>
      <c r="C24" s="65">
        <f>797705+2000000</f>
        <v>2797705</v>
      </c>
      <c r="D24" s="64"/>
      <c r="E24" s="65">
        <f>1121967+2000000</f>
        <v>3121967</v>
      </c>
      <c r="F24" s="65">
        <v>3085858</v>
      </c>
      <c r="G24" s="6"/>
    </row>
    <row r="25" spans="1:7" ht="12" customHeight="1" x14ac:dyDescent="0.25">
      <c r="A25" s="47" t="s">
        <v>14</v>
      </c>
      <c r="B25" s="99"/>
      <c r="C25" s="99"/>
      <c r="D25" s="99"/>
      <c r="E25" s="100"/>
      <c r="F25" s="100"/>
      <c r="G25" s="6"/>
    </row>
    <row r="26" spans="1:7" ht="12" customHeight="1" x14ac:dyDescent="0.25">
      <c r="A26" s="101" t="s">
        <v>79</v>
      </c>
      <c r="B26" s="43">
        <v>0</v>
      </c>
      <c r="C26" s="43">
        <v>153954</v>
      </c>
      <c r="D26" s="42"/>
      <c r="E26" s="43">
        <v>154471</v>
      </c>
      <c r="F26" s="43">
        <v>154826</v>
      </c>
      <c r="G26" s="6"/>
    </row>
    <row r="27" spans="1:7" ht="12" customHeight="1" x14ac:dyDescent="0.25">
      <c r="A27" s="78" t="s">
        <v>18</v>
      </c>
      <c r="B27" s="65">
        <f>1016876+230422</f>
        <v>1247298</v>
      </c>
      <c r="C27" s="65">
        <f>1080000+628952</f>
        <v>1708952</v>
      </c>
      <c r="D27" s="64"/>
      <c r="E27" s="65">
        <f>1080000+629749</f>
        <v>1709749</v>
      </c>
      <c r="F27" s="65">
        <f>1080000+630296</f>
        <v>1710296</v>
      </c>
      <c r="G27" s="6"/>
    </row>
    <row r="28" spans="1:7" ht="12" customHeight="1" x14ac:dyDescent="0.25">
      <c r="A28" s="47" t="s">
        <v>67</v>
      </c>
      <c r="B28" s="43">
        <v>343908779</v>
      </c>
      <c r="C28" s="43">
        <v>349999054</v>
      </c>
      <c r="D28" s="42"/>
      <c r="E28" s="43">
        <v>349999054</v>
      </c>
      <c r="F28" s="43">
        <v>353359576</v>
      </c>
      <c r="G28" s="6"/>
    </row>
    <row r="29" spans="1:7" ht="12" customHeight="1" x14ac:dyDescent="0.25">
      <c r="A29" s="78" t="s">
        <v>80</v>
      </c>
      <c r="B29" s="65">
        <v>5947862</v>
      </c>
      <c r="C29" s="65">
        <v>13000000</v>
      </c>
      <c r="D29" s="64"/>
      <c r="E29" s="65">
        <v>11500000</v>
      </c>
      <c r="F29" s="65">
        <v>11500000</v>
      </c>
      <c r="G29" s="6"/>
    </row>
    <row r="30" spans="1:7" ht="12" customHeight="1" x14ac:dyDescent="0.25">
      <c r="A30" s="47" t="s">
        <v>15</v>
      </c>
      <c r="B30" s="100"/>
      <c r="C30" s="100"/>
      <c r="D30" s="99"/>
      <c r="E30" s="100"/>
      <c r="F30" s="100"/>
      <c r="G30" s="6"/>
    </row>
    <row r="31" spans="1:7" ht="12" customHeight="1" x14ac:dyDescent="0.25">
      <c r="A31" s="101" t="s">
        <v>16</v>
      </c>
      <c r="B31" s="43">
        <v>28554927</v>
      </c>
      <c r="C31" s="43">
        <v>27464533</v>
      </c>
      <c r="D31" s="42"/>
      <c r="E31" s="43">
        <v>27464533</v>
      </c>
      <c r="F31" s="43">
        <v>26589250</v>
      </c>
      <c r="G31" s="6"/>
    </row>
    <row r="32" spans="1:7" ht="12" customHeight="1" x14ac:dyDescent="0.25">
      <c r="A32" s="78" t="s">
        <v>8</v>
      </c>
      <c r="B32" s="65">
        <v>1674460</v>
      </c>
      <c r="C32" s="65">
        <f>150000+390556+1875094+100000+200000+1500000+49500</f>
        <v>4265150</v>
      </c>
      <c r="D32" s="64"/>
      <c r="E32" s="65">
        <v>4079039</v>
      </c>
      <c r="F32" s="65">
        <f>150421+390556+1881023+100000+200000+1500000+49500</f>
        <v>4271500</v>
      </c>
      <c r="G32" s="6"/>
    </row>
    <row r="33" spans="1:7" ht="12" customHeight="1" thickBot="1" x14ac:dyDescent="0.3">
      <c r="A33" s="6"/>
      <c r="B33" s="6"/>
      <c r="C33" s="6"/>
      <c r="D33" s="6"/>
      <c r="E33" s="6"/>
      <c r="F33" s="6"/>
      <c r="G33" s="6"/>
    </row>
    <row r="34" spans="1:7" ht="12" customHeight="1" x14ac:dyDescent="0.25">
      <c r="A34" s="48" t="s">
        <v>5</v>
      </c>
      <c r="B34" s="69">
        <f>SUM(B35:B37)</f>
        <v>1550.32</v>
      </c>
      <c r="C34" s="69">
        <f>SUM(C35:C37)</f>
        <v>1652.1799999999998</v>
      </c>
      <c r="D34" s="70"/>
      <c r="E34" s="69">
        <f>SUM(E35:E37)</f>
        <v>1654.1799999999998</v>
      </c>
      <c r="F34" s="69">
        <f>SUM(F35:F37)</f>
        <v>1651.1799999999998</v>
      </c>
      <c r="G34" s="49"/>
    </row>
    <row r="35" spans="1:7" ht="12" customHeight="1" x14ac:dyDescent="0.25">
      <c r="A35" s="21" t="s">
        <v>6</v>
      </c>
      <c r="B35" s="71">
        <v>743.6</v>
      </c>
      <c r="C35" s="71">
        <v>786.52</v>
      </c>
      <c r="D35" s="72"/>
      <c r="E35" s="71">
        <v>784.52</v>
      </c>
      <c r="F35" s="71">
        <v>784.52</v>
      </c>
      <c r="G35" s="13"/>
    </row>
    <row r="36" spans="1:7" ht="12" customHeight="1" x14ac:dyDescent="0.25">
      <c r="A36" s="56" t="s">
        <v>7</v>
      </c>
      <c r="B36" s="73">
        <v>790.18</v>
      </c>
      <c r="C36" s="73">
        <v>846.91</v>
      </c>
      <c r="D36" s="74"/>
      <c r="E36" s="73">
        <v>847.91</v>
      </c>
      <c r="F36" s="73">
        <v>845.91</v>
      </c>
      <c r="G36" s="50"/>
    </row>
    <row r="37" spans="1:7" ht="12" customHeight="1" thickBot="1" x14ac:dyDescent="0.3">
      <c r="A37" s="22" t="s">
        <v>8</v>
      </c>
      <c r="B37" s="75">
        <f>1550.32-743.6-790.18</f>
        <v>16.539999999999964</v>
      </c>
      <c r="C37" s="75">
        <f>1652.18-786.52-846.91</f>
        <v>18.750000000000114</v>
      </c>
      <c r="D37" s="76"/>
      <c r="E37" s="75">
        <f>1654.18-847.91-784.52</f>
        <v>21.750000000000114</v>
      </c>
      <c r="F37" s="75">
        <v>20.75</v>
      </c>
      <c r="G37" s="14"/>
    </row>
    <row r="39" spans="1:7" x14ac:dyDescent="0.25">
      <c r="A39" s="107" t="s">
        <v>50</v>
      </c>
      <c r="B39" s="107" t="s">
        <v>84</v>
      </c>
    </row>
    <row r="40" spans="1:7" ht="15" x14ac:dyDescent="0.25">
      <c r="A40" s="108">
        <v>1</v>
      </c>
      <c r="B40" s="107" t="s">
        <v>85</v>
      </c>
      <c r="C40" s="83"/>
      <c r="D40" s="83"/>
      <c r="E40" s="83"/>
      <c r="F40" s="83"/>
    </row>
    <row r="41" spans="1:7" ht="15" x14ac:dyDescent="0.25">
      <c r="A41" s="108">
        <v>2</v>
      </c>
      <c r="B41" s="107" t="s">
        <v>86</v>
      </c>
      <c r="C41" s="83"/>
      <c r="D41" s="83"/>
      <c r="E41" s="83"/>
      <c r="F41" s="83"/>
    </row>
    <row r="42" spans="1:7" ht="15" x14ac:dyDescent="0.25">
      <c r="A42" s="108">
        <v>3</v>
      </c>
      <c r="B42" s="107" t="s">
        <v>87</v>
      </c>
      <c r="C42" s="83"/>
      <c r="D42" s="83"/>
      <c r="E42" s="83"/>
      <c r="F42" s="83"/>
    </row>
    <row r="43" spans="1:7" ht="15" x14ac:dyDescent="0.25">
      <c r="A43" s="108">
        <v>4</v>
      </c>
      <c r="B43" s="107" t="s">
        <v>88</v>
      </c>
      <c r="C43" s="83"/>
      <c r="D43" s="83"/>
      <c r="E43" s="83"/>
      <c r="F43" s="83"/>
    </row>
    <row r="44" spans="1:7" x14ac:dyDescent="0.25">
      <c r="A44" s="81"/>
      <c r="B44" s="83"/>
      <c r="C44" s="83"/>
      <c r="D44" s="83"/>
      <c r="E44" s="83"/>
      <c r="F44" s="83"/>
    </row>
    <row r="45" spans="1:7" x14ac:dyDescent="0.25">
      <c r="A45" s="81"/>
      <c r="B45" s="83"/>
      <c r="C45" s="83"/>
      <c r="D45" s="83"/>
      <c r="E45" s="83"/>
      <c r="F45" s="83"/>
    </row>
    <row r="46" spans="1:7" x14ac:dyDescent="0.25">
      <c r="A46" s="81"/>
      <c r="B46" s="83"/>
      <c r="C46" s="83"/>
      <c r="D46" s="83"/>
      <c r="E46" s="83"/>
      <c r="F46" s="83"/>
    </row>
    <row r="47" spans="1:7" x14ac:dyDescent="0.25">
      <c r="A47" s="81"/>
      <c r="B47" s="83"/>
      <c r="C47" s="83"/>
      <c r="D47" s="83"/>
      <c r="E47" s="83"/>
      <c r="F47" s="83"/>
    </row>
    <row r="48" spans="1:7" x14ac:dyDescent="0.25">
      <c r="A48" s="81"/>
      <c r="B48" s="83"/>
      <c r="C48" s="83"/>
      <c r="D48" s="83"/>
      <c r="E48" s="83"/>
      <c r="F48" s="83"/>
    </row>
    <row r="49" spans="1:6" x14ac:dyDescent="0.25">
      <c r="A49" s="81"/>
      <c r="B49" s="83"/>
      <c r="C49" s="83"/>
      <c r="D49" s="83"/>
      <c r="E49" s="83"/>
      <c r="F49" s="83"/>
    </row>
    <row r="50" spans="1:6" x14ac:dyDescent="0.25">
      <c r="A50" s="82"/>
      <c r="B50" s="83"/>
      <c r="C50" s="83"/>
      <c r="D50" s="83"/>
      <c r="E50" s="83"/>
      <c r="F50" s="83"/>
    </row>
    <row r="51" spans="1:6" x14ac:dyDescent="0.25">
      <c r="A51" s="82"/>
      <c r="B51" s="83"/>
      <c r="C51" s="83"/>
      <c r="D51" s="83"/>
      <c r="E51" s="83"/>
      <c r="F51" s="83"/>
    </row>
    <row r="52" spans="1:6" x14ac:dyDescent="0.25">
      <c r="A52" s="82"/>
      <c r="B52" s="83"/>
      <c r="C52" s="83"/>
      <c r="D52" s="83"/>
      <c r="E52" s="83"/>
      <c r="F52" s="83"/>
    </row>
    <row r="53" spans="1:6" x14ac:dyDescent="0.25">
      <c r="A53" s="81"/>
      <c r="B53" s="91"/>
      <c r="C53" s="91"/>
      <c r="D53" s="91"/>
      <c r="E53" s="91"/>
      <c r="F53" s="91"/>
    </row>
    <row r="55" spans="1:6" ht="15.75" x14ac:dyDescent="0.25">
      <c r="A55" s="109"/>
      <c r="B55" s="109"/>
      <c r="C55" s="109"/>
      <c r="D55" s="109"/>
      <c r="E55" s="109"/>
      <c r="F55" s="109"/>
    </row>
  </sheetData>
  <sheetProtection password="CA89" sheet="1" formatCells="0" insertRows="0" selectLockedCells="1"/>
  <protectedRanges>
    <protectedRange algorithmName="SHA-512" hashValue="GqBIzzshgxW+5ID8jSwqsyL2ER2xapo4v2C/f9y0OKOzR6Uy6j21JsBxWIBiIA2uICeqfZObUsOUGZYVOw3w1g==" saltValue="2NT2wwn4eGAEf9bO/HiQQg==" spinCount="100000" sqref="A1:A7 F25:G25 D25:E30 B25:C25 B1:G5 B13:G14 G6:G12 F30:G30 G26:G29 B30:C33 D33:G33 G31:G32 D35:D37 G34:G37 B38:G40 G15:G24 A11:A40" name="Range1" securityDescriptor="O:WDG:WDD:(A;;CC;;;S-1-5-21-3219648850-738124763-203175933-17295)(A;;CC;;;S-1-5-21-3219648850-738124763-203175933-17298)(A;;CC;;;S-1-5-21-3219648850-738124763-203175933-17299)"/>
    <protectedRange algorithmName="SHA-512" hashValue="KrTtG6EZPih0zNpcaIkuM0PZO0Q6emJsf42MsJaCK2lPWwUD6GEMkcEPlwhmj3caDbZfmgJ0iA5mWPmItK2BvA==" saltValue="kctN55VpvsAr9Aa5VI6NUQ==" spinCount="100000" sqref="B6:F12 B26:F29 B31:F32 B15:F24" name="Range1_1" securityDescriptor="O:WDG:WDD:(A;;CC;;;S-1-5-21-3219648850-738124763-203175933-17295)(A;;CC;;;S-1-5-21-3219648850-738124763-203175933-17298)(A;;CC;;;S-1-5-21-3219648850-738124763-203175933-17299)"/>
    <protectedRange algorithmName="SHA-512" hashValue="lC9zXHv8et/z8Gku7jw46pEO79O9k8ZJsC4gi5b5J1/7Z8GEuIBNhEbfiMjg+y6Z4mtK8KzuX4UtbnwyRhe9kQ==" saltValue="QtuS5nmTmJuJWGSZXduYaw==" spinCount="100000" sqref="B34:B37" name="Range1_2" securityDescriptor="O:WDG:WDD:(A;;CC;;;S-1-5-21-3219648850-738124763-203175933-17295)(A;;CC;;;S-1-5-21-3219648850-738124763-203175933-17298)(A;;CC;;;S-1-5-21-3219648850-738124763-203175933-17299)"/>
    <protectedRange algorithmName="SHA-512" hashValue="OkMuteM6LS4pAyRUN+hDeQ/SfhYOk15OqIk5PdhPM+WEESaHLG//j7mHYIzUUYDAt6vQ6G9aX7yUBiEuSygxSA==" saltValue="t9RvUW60MUvb8vkh7JVnTQ==" spinCount="100000" sqref="C34:C37" name="Range1_3" securityDescriptor="O:WDG:WDD:(A;;CC;;;S-1-5-21-3219648850-738124763-203175933-17295)(A;;CC;;;S-1-5-21-3219648850-738124763-203175933-17298)(A;;CC;;;S-1-5-21-3219648850-738124763-203175933-17299)"/>
    <protectedRange algorithmName="SHA-512" hashValue="i1OqnqUb6hxktEKBlspluAfb416+mPj+7NhiaX+4NrYiWmMIx8Zr5MU+2jqUmu3XcoW8kuXguUuXUrdbYqggxg==" saltValue="cOfRTyrIoxSp+Q5cnf9HCA==" spinCount="100000" sqref="E34:E37" name="Range1_4" securityDescriptor="O:WDG:WDD:(A;;CC;;;S-1-5-21-3219648850-738124763-203175933-17295)(A;;CC;;;S-1-5-21-3219648850-738124763-203175933-17298)(A;;CC;;;S-1-5-21-3219648850-738124763-203175933-17299)"/>
    <protectedRange algorithmName="SHA-512" hashValue="7SdmurgsOvnpFTgdej3G1nK1NLS9wYcDxjWkAXYSh9jWPLkQIZIORB2WwNd/4+4Xt9kgj1DaP8q88kHlktqyew==" saltValue="Io8y72ztZbv6uokfZOA2ug==" spinCount="100000" sqref="F34:F37" name="Range1_5" securityDescriptor="O:WDG:WDD:(A;;CC;;;S-1-5-21-3219648850-738124763-203175933-17295)(A;;CC;;;S-1-5-21-3219648850-738124763-203175933-17298)(A;;CC;;;S-1-5-21-3219648850-738124763-203175933-17299)"/>
    <protectedRange password="CA89" sqref="A55" name="Range1_6" securityDescriptor="O:WDG:WDD:(A;;CC;;;S-1-5-21-3219648850-738124763-203175933-17295)(A;;CC;;;S-1-5-21-3219648850-738124763-203175933-17298)(A;;CC;;;S-1-5-21-3219648850-738124763-203175933-17299)"/>
  </protectedRanges>
  <mergeCells count="1">
    <mergeCell ref="A55:F55"/>
  </mergeCells>
  <conditionalFormatting sqref="A35:B37 D35:XFD37 A38:XFD38 A56:XFD1048576 G55:XFD55 A54:XFD54 A44:A48 A49:F52 A53 A1:XFD34 G40:XFD53 C39:XFD39">
    <cfRule type="expression" priority="15" stopIfTrue="1">
      <formula>CELL("protect",A1)=1</formula>
    </cfRule>
    <cfRule type="expression" dxfId="26" priority="16">
      <formula>CELL("protect",A1)=1</formula>
    </cfRule>
  </conditionalFormatting>
  <conditionalFormatting sqref="C35:C37">
    <cfRule type="expression" priority="11" stopIfTrue="1">
      <formula>CELL("protect",C35)=1</formula>
    </cfRule>
    <cfRule type="expression" dxfId="25" priority="12">
      <formula>CELL("protect",C35)=1</formula>
    </cfRule>
  </conditionalFormatting>
  <conditionalFormatting sqref="A55">
    <cfRule type="expression" priority="9" stopIfTrue="1">
      <formula>CELL("protect",A55)=1</formula>
    </cfRule>
    <cfRule type="expression" dxfId="24" priority="10">
      <formula>CELL("protect",A55)=1</formula>
    </cfRule>
  </conditionalFormatting>
  <conditionalFormatting sqref="C40:F40">
    <cfRule type="expression" priority="7" stopIfTrue="1">
      <formula>CELL("protect",C40)=1</formula>
    </cfRule>
    <cfRule type="expression" dxfId="23" priority="8">
      <formula>CELL("protect",C40)=1</formula>
    </cfRule>
  </conditionalFormatting>
  <conditionalFormatting sqref="C40:F40 B49:F52">
    <cfRule type="cellIs" dxfId="22" priority="5" operator="lessThan">
      <formula>0</formula>
    </cfRule>
    <cfRule type="cellIs" dxfId="21" priority="6" operator="greaterThan">
      <formula>0</formula>
    </cfRule>
  </conditionalFormatting>
  <conditionalFormatting sqref="B44:F48 C41:F43">
    <cfRule type="expression" priority="3" stopIfTrue="1">
      <formula>CELL("protect",B41)=1</formula>
    </cfRule>
    <cfRule type="expression" dxfId="20" priority="4">
      <formula>CELL("protect",B41)=1</formula>
    </cfRule>
  </conditionalFormatting>
  <conditionalFormatting sqref="B44:F48 C41:F43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  <pageSetup scale="8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workbookViewId="0">
      <pane ySplit="3" topLeftCell="A4" activePane="bottomLeft" state="frozen"/>
      <selection pane="bottomLeft"/>
    </sheetView>
  </sheetViews>
  <sheetFormatPr defaultColWidth="8.75" defaultRowHeight="14.25" x14ac:dyDescent="0.2"/>
  <cols>
    <col min="1" max="1" width="41.5" style="1" customWidth="1"/>
    <col min="2" max="4" width="13.625" style="1" customWidth="1"/>
    <col min="5" max="5" width="1.625" style="1" customWidth="1"/>
    <col min="6" max="6" width="13.625" style="1" customWidth="1"/>
    <col min="7" max="7" width="1.625" style="1" customWidth="1"/>
    <col min="8" max="8" width="8.75" style="1"/>
    <col min="9" max="9" width="12.125" style="1" bestFit="1" customWidth="1"/>
    <col min="10" max="16384" width="8.75" style="1"/>
  </cols>
  <sheetData>
    <row r="1" spans="1:8" ht="12" customHeight="1" x14ac:dyDescent="0.25">
      <c r="A1" s="25"/>
      <c r="B1" s="26"/>
      <c r="C1" s="27"/>
      <c r="D1" s="27"/>
      <c r="E1" s="27"/>
      <c r="F1" s="27" t="s">
        <v>81</v>
      </c>
      <c r="G1" s="28"/>
      <c r="H1" s="5"/>
    </row>
    <row r="2" spans="1:8" ht="12" customHeight="1" x14ac:dyDescent="0.25">
      <c r="A2" s="29"/>
      <c r="B2" s="30"/>
      <c r="C2" s="31" t="s">
        <v>60</v>
      </c>
      <c r="D2" s="31" t="s">
        <v>64</v>
      </c>
      <c r="E2" s="31"/>
      <c r="F2" s="31" t="s">
        <v>3</v>
      </c>
      <c r="G2" s="32"/>
      <c r="H2" s="5"/>
    </row>
    <row r="3" spans="1:8" ht="12" customHeight="1" thickBot="1" x14ac:dyDescent="0.3">
      <c r="A3" s="33"/>
      <c r="B3" s="34"/>
      <c r="C3" s="35" t="s">
        <v>0</v>
      </c>
      <c r="D3" s="35" t="s">
        <v>1</v>
      </c>
      <c r="E3" s="35"/>
      <c r="F3" s="35" t="s">
        <v>4</v>
      </c>
      <c r="G3" s="36"/>
      <c r="H3" s="5"/>
    </row>
    <row r="4" spans="1:8" s="2" customFormat="1" ht="12" customHeight="1" x14ac:dyDescent="0.25">
      <c r="A4" s="5"/>
      <c r="B4" s="5"/>
      <c r="C4" s="5"/>
      <c r="D4" s="5"/>
      <c r="E4" s="5"/>
      <c r="F4" s="5"/>
      <c r="G4" s="5"/>
      <c r="H4" s="5"/>
    </row>
    <row r="5" spans="1:8" s="2" customFormat="1" ht="12" customHeight="1" x14ac:dyDescent="0.25">
      <c r="A5" s="40" t="s">
        <v>19</v>
      </c>
      <c r="B5" s="40"/>
      <c r="C5" s="41">
        <v>4129927</v>
      </c>
      <c r="D5" s="41">
        <f>4674458+95376</f>
        <v>4769834</v>
      </c>
      <c r="E5" s="42"/>
      <c r="F5" s="41">
        <f>4809925+184845</f>
        <v>4994770</v>
      </c>
      <c r="G5" s="5"/>
      <c r="H5" s="5"/>
    </row>
    <row r="6" spans="1:8" s="67" customFormat="1" ht="12" customHeight="1" x14ac:dyDescent="0.25">
      <c r="A6" s="63" t="s">
        <v>51</v>
      </c>
      <c r="B6" s="63"/>
      <c r="C6" s="65">
        <v>299236369</v>
      </c>
      <c r="D6" s="65">
        <v>321443177</v>
      </c>
      <c r="E6" s="64"/>
      <c r="F6" s="65">
        <v>321443177</v>
      </c>
      <c r="G6" s="62"/>
      <c r="H6" s="62"/>
    </row>
    <row r="7" spans="1:8" s="2" customFormat="1" ht="12" customHeight="1" x14ac:dyDescent="0.25">
      <c r="A7" s="40" t="s">
        <v>25</v>
      </c>
      <c r="B7" s="40"/>
      <c r="C7" s="43">
        <v>378541</v>
      </c>
      <c r="D7" s="43">
        <v>492000</v>
      </c>
      <c r="E7" s="42"/>
      <c r="F7" s="43">
        <v>492000</v>
      </c>
      <c r="G7" s="5"/>
      <c r="H7" s="5"/>
    </row>
    <row r="8" spans="1:8" s="67" customFormat="1" ht="12" customHeight="1" x14ac:dyDescent="0.25">
      <c r="A8" s="63" t="s">
        <v>26</v>
      </c>
      <c r="B8" s="63"/>
      <c r="C8" s="65">
        <v>673503</v>
      </c>
      <c r="D8" s="65">
        <v>15000000</v>
      </c>
      <c r="E8" s="68"/>
      <c r="F8" s="65">
        <v>15000000</v>
      </c>
      <c r="G8" s="62"/>
      <c r="H8" s="62"/>
    </row>
    <row r="9" spans="1:8" s="2" customFormat="1" ht="12" customHeight="1" x14ac:dyDescent="0.25">
      <c r="A9" s="40" t="s">
        <v>61</v>
      </c>
      <c r="B9" s="40"/>
      <c r="C9" s="43">
        <v>0</v>
      </c>
      <c r="D9" s="43">
        <v>1</v>
      </c>
      <c r="E9" s="57"/>
      <c r="F9" s="43">
        <v>0</v>
      </c>
      <c r="G9" s="5"/>
      <c r="H9" s="5"/>
    </row>
    <row r="10" spans="1:8" s="2" customFormat="1" ht="13.5" customHeight="1" x14ac:dyDescent="0.4">
      <c r="A10" s="6" t="s">
        <v>74</v>
      </c>
      <c r="B10" s="6"/>
      <c r="C10" s="11">
        <v>27343</v>
      </c>
      <c r="D10" s="11">
        <v>400000</v>
      </c>
      <c r="E10" s="7"/>
      <c r="F10" s="11">
        <v>400000</v>
      </c>
      <c r="G10" s="5"/>
      <c r="H10" s="5"/>
    </row>
    <row r="11" spans="1:8" ht="12" customHeight="1" x14ac:dyDescent="0.25">
      <c r="A11" s="45" t="s">
        <v>27</v>
      </c>
      <c r="B11" s="45"/>
      <c r="C11" s="46">
        <f>SUM(C5:C10)</f>
        <v>304445683</v>
      </c>
      <c r="D11" s="46">
        <f>SUM(D5:D10)</f>
        <v>342105012</v>
      </c>
      <c r="E11" s="58"/>
      <c r="F11" s="46">
        <f>SUM(F5:F10)</f>
        <v>342329947</v>
      </c>
      <c r="G11" s="5"/>
      <c r="H11" s="5"/>
    </row>
    <row r="12" spans="1:8" ht="12" customHeight="1" x14ac:dyDescent="0.25">
      <c r="A12" s="12" t="s">
        <v>6</v>
      </c>
      <c r="B12" s="19"/>
      <c r="C12" s="8">
        <v>5315053</v>
      </c>
      <c r="D12" s="8">
        <v>5811571</v>
      </c>
      <c r="E12" s="8"/>
      <c r="F12" s="8">
        <v>5955023</v>
      </c>
      <c r="G12" s="5"/>
      <c r="H12" s="5"/>
    </row>
    <row r="13" spans="1:8" ht="12" customHeight="1" x14ac:dyDescent="0.25">
      <c r="A13" s="47" t="s">
        <v>7</v>
      </c>
      <c r="B13" s="59"/>
      <c r="C13" s="43">
        <v>298752089</v>
      </c>
      <c r="D13" s="43">
        <f>116456+335680739</f>
        <v>335797195</v>
      </c>
      <c r="E13" s="43"/>
      <c r="F13" s="43">
        <v>335880349</v>
      </c>
      <c r="G13" s="5"/>
      <c r="H13" s="5"/>
    </row>
    <row r="14" spans="1:8" ht="12" customHeight="1" x14ac:dyDescent="0.25">
      <c r="A14" s="12" t="s">
        <v>8</v>
      </c>
      <c r="B14" s="19"/>
      <c r="C14" s="8">
        <v>378541</v>
      </c>
      <c r="D14" s="8">
        <f>492000+4246</f>
        <v>496246</v>
      </c>
      <c r="E14" s="8"/>
      <c r="F14" s="8">
        <v>494575</v>
      </c>
      <c r="G14" s="5"/>
      <c r="H14" s="5"/>
    </row>
    <row r="15" spans="1:8" ht="12" customHeight="1" thickBot="1" x14ac:dyDescent="0.3">
      <c r="A15" s="5"/>
      <c r="B15" s="5"/>
      <c r="C15" s="8"/>
      <c r="D15" s="8"/>
      <c r="E15" s="8"/>
      <c r="F15" s="8"/>
      <c r="G15" s="5"/>
      <c r="H15" s="5"/>
    </row>
    <row r="16" spans="1:8" ht="12" customHeight="1" thickBot="1" x14ac:dyDescent="0.3">
      <c r="A16" s="51" t="s">
        <v>5</v>
      </c>
      <c r="B16" s="52"/>
      <c r="C16" s="77">
        <v>68.760000000000005</v>
      </c>
      <c r="D16" s="77">
        <v>72</v>
      </c>
      <c r="E16" s="77"/>
      <c r="F16" s="77">
        <v>73</v>
      </c>
      <c r="G16" s="55"/>
      <c r="H16" s="5"/>
    </row>
    <row r="17" spans="1:8" ht="15" x14ac:dyDescent="0.25">
      <c r="A17" s="5"/>
      <c r="B17" s="5"/>
      <c r="C17" s="5"/>
      <c r="D17" s="5"/>
      <c r="E17" s="5"/>
      <c r="F17" s="5"/>
      <c r="G17" s="5"/>
      <c r="H17" s="5"/>
    </row>
    <row r="18" spans="1:8" ht="15" x14ac:dyDescent="0.25">
      <c r="A18" s="5"/>
      <c r="B18" s="5"/>
      <c r="C18" s="5"/>
      <c r="D18" s="5"/>
      <c r="E18" s="5"/>
      <c r="F18" s="5"/>
      <c r="G18" s="5"/>
      <c r="H18" s="5"/>
    </row>
    <row r="19" spans="1:8" ht="15" x14ac:dyDescent="0.25">
      <c r="A19" s="3"/>
      <c r="B19" s="4"/>
      <c r="C19" s="15"/>
      <c r="D19" s="15"/>
      <c r="E19" s="5"/>
      <c r="F19" s="15"/>
      <c r="G19" s="2"/>
    </row>
  </sheetData>
  <sheetProtection password="CA89" sheet="1" formatCells="0" insertRows="0" selectLockedCells="1"/>
  <protectedRanges>
    <protectedRange password="CA89" sqref="B4:G4 B5 E5 G5 A10:G20 B6:G7 G8:G9 E8:E9 B8:B9 A4:A9" name="Range1" securityDescriptor="O:WDG:WDD:(A;;CC;;;S-1-5-21-3219648850-738124763-203175933-17295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8)(A;;CC;;;S-1-5-21-3219648850-738124763-203175933-17299)"/>
    <protectedRange password="CA89" sqref="C8:D9" name="Range1_3" securityDescriptor="O:WDG:WDD:(A;;CC;;;S-1-5-21-3219648850-738124763-203175933-17295)(A;;CC;;;S-1-5-21-3219648850-738124763-203175933-17298)(A;;CC;;;S-1-5-21-3219648850-738124763-203175933-17299)"/>
    <protectedRange password="CA89" sqref="F8:F9" name="Range1_4" securityDescriptor="O:WDG:WDD:(A;;CC;;;S-1-5-21-3219648850-738124763-203175933-17295)(A;;CC;;;S-1-5-21-3219648850-738124763-203175933-17298)(A;;CC;;;S-1-5-21-3219648850-738124763-203175933-17299)"/>
    <protectedRange password="CA89" sqref="A1:G3" name="Range1_5" securityDescriptor="O:WDG:WDD:(A;;CC;;;S-1-5-21-3219648850-738124763-203175933-17295)(A;;CC;;;S-1-5-21-3219648850-738124763-203175933-17298)(A;;CC;;;S-1-5-21-3219648850-738124763-203175933-17299)"/>
  </protectedRanges>
  <conditionalFormatting sqref="H1:XFD3 A4:XFD18 A20:XFD1048576 A19:B19 G19:XFD19">
    <cfRule type="expression" dxfId="17" priority="11">
      <formula>CELL("protect",A1)=1</formula>
    </cfRule>
  </conditionalFormatting>
  <conditionalFormatting sqref="A4:G16">
    <cfRule type="expression" priority="10" stopIfTrue="1">
      <formula>CELL("protect",A4)=1</formula>
    </cfRule>
  </conditionalFormatting>
  <conditionalFormatting sqref="A1:G3">
    <cfRule type="expression" priority="5" stopIfTrue="1">
      <formula>CELL("protect",A1)=1</formula>
    </cfRule>
    <cfRule type="expression" dxfId="16" priority="6">
      <formula>CELL("protect",A1)=1</formula>
    </cfRule>
  </conditionalFormatting>
  <conditionalFormatting sqref="C19:F19">
    <cfRule type="expression" priority="3" stopIfTrue="1">
      <formula>CELL("protect",C19)=1</formula>
    </cfRule>
    <cfRule type="expression" dxfId="15" priority="4">
      <formula>CELL("protect",C19)=1</formula>
    </cfRule>
  </conditionalFormatting>
  <conditionalFormatting sqref="C19:F19">
    <cfRule type="cellIs" dxfId="14" priority="1" operator="lessThan">
      <formula>0</formula>
    </cfRule>
    <cfRule type="cellIs" dxfId="13" priority="2" operator="greaterThan">
      <formula>0</formula>
    </cfRule>
  </conditionalFormatting>
  <pageMargins left="0.7" right="0.7" top="0.75" bottom="0.75" header="0.3" footer="0.3"/>
  <pageSetup scale="80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workbookViewId="0">
      <pane ySplit="3" topLeftCell="A4" activePane="bottomLeft" state="frozen"/>
      <selection pane="bottomLeft"/>
    </sheetView>
  </sheetViews>
  <sheetFormatPr defaultColWidth="8.75" defaultRowHeight="14.25" x14ac:dyDescent="0.25"/>
  <cols>
    <col min="1" max="1" width="41.5" style="5" customWidth="1"/>
    <col min="2" max="4" width="13.625" style="5" customWidth="1"/>
    <col min="5" max="5" width="1.625" style="5" customWidth="1"/>
    <col min="6" max="6" width="13.625" style="5" customWidth="1"/>
    <col min="7" max="7" width="1.625" style="5" customWidth="1"/>
    <col min="8" max="16384" width="8.75" style="5"/>
  </cols>
  <sheetData>
    <row r="1" spans="1:7" ht="12" customHeight="1" x14ac:dyDescent="0.25">
      <c r="A1" s="25"/>
      <c r="B1" s="26"/>
      <c r="C1" s="27"/>
      <c r="D1" s="27"/>
      <c r="E1" s="27"/>
      <c r="F1" s="27" t="s">
        <v>81</v>
      </c>
      <c r="G1" s="28"/>
    </row>
    <row r="2" spans="1:7" ht="12" customHeight="1" x14ac:dyDescent="0.25">
      <c r="A2" s="29"/>
      <c r="B2" s="30"/>
      <c r="C2" s="31" t="s">
        <v>60</v>
      </c>
      <c r="D2" s="31" t="s">
        <v>64</v>
      </c>
      <c r="E2" s="31"/>
      <c r="F2" s="31" t="s">
        <v>3</v>
      </c>
      <c r="G2" s="32"/>
    </row>
    <row r="3" spans="1:7" ht="12" customHeight="1" thickBot="1" x14ac:dyDescent="0.3">
      <c r="A3" s="33"/>
      <c r="B3" s="34"/>
      <c r="C3" s="35" t="s">
        <v>0</v>
      </c>
      <c r="D3" s="35" t="s">
        <v>1</v>
      </c>
      <c r="E3" s="35"/>
      <c r="F3" s="35" t="s">
        <v>4</v>
      </c>
      <c r="G3" s="36"/>
    </row>
    <row r="4" spans="1:7" ht="12" customHeight="1" x14ac:dyDescent="0.25"/>
    <row r="5" spans="1:7" ht="12" customHeight="1" x14ac:dyDescent="0.25">
      <c r="A5" s="40" t="s">
        <v>28</v>
      </c>
      <c r="B5" s="40"/>
      <c r="C5" s="41">
        <f>2501574080+965011878</f>
        <v>3466585958</v>
      </c>
      <c r="D5" s="41">
        <f>2547987378+1005224507</f>
        <v>3553211885</v>
      </c>
      <c r="E5" s="42"/>
      <c r="F5" s="41">
        <f>2591805921+973508313</f>
        <v>3565314234</v>
      </c>
      <c r="G5" s="9"/>
    </row>
    <row r="6" spans="1:7" ht="12" customHeight="1" x14ac:dyDescent="0.25">
      <c r="A6" s="63" t="s">
        <v>29</v>
      </c>
      <c r="B6" s="63"/>
      <c r="C6" s="65">
        <v>15000000</v>
      </c>
      <c r="D6" s="65">
        <v>15000000</v>
      </c>
      <c r="E6" s="64"/>
      <c r="F6" s="65">
        <v>15000000</v>
      </c>
    </row>
    <row r="7" spans="1:7" ht="12" customHeight="1" x14ac:dyDescent="0.25">
      <c r="A7" s="40" t="s">
        <v>30</v>
      </c>
      <c r="B7" s="40"/>
      <c r="C7" s="43">
        <v>102547713</v>
      </c>
      <c r="D7" s="43">
        <v>107547713</v>
      </c>
      <c r="E7" s="42"/>
      <c r="F7" s="43">
        <v>117547713</v>
      </c>
    </row>
    <row r="8" spans="1:7" ht="12" customHeight="1" x14ac:dyDescent="0.25">
      <c r="A8" s="63" t="s">
        <v>31</v>
      </c>
      <c r="B8" s="63"/>
      <c r="C8" s="65">
        <v>192813349</v>
      </c>
      <c r="D8" s="65">
        <v>194567259</v>
      </c>
      <c r="E8" s="64"/>
      <c r="F8" s="65">
        <v>206543263</v>
      </c>
    </row>
    <row r="9" spans="1:7" ht="12" customHeight="1" x14ac:dyDescent="0.25">
      <c r="A9" s="40" t="s">
        <v>32</v>
      </c>
      <c r="B9" s="40"/>
      <c r="C9" s="43">
        <v>50069028</v>
      </c>
      <c r="D9" s="43">
        <v>50069028</v>
      </c>
      <c r="E9" s="42"/>
      <c r="F9" s="43">
        <v>50069028</v>
      </c>
    </row>
    <row r="10" spans="1:7" ht="12" customHeight="1" x14ac:dyDescent="0.25">
      <c r="A10" s="63" t="s">
        <v>55</v>
      </c>
      <c r="B10" s="63"/>
      <c r="C10" s="65">
        <v>18000000</v>
      </c>
      <c r="D10" s="65">
        <v>21058000</v>
      </c>
      <c r="E10" s="64"/>
      <c r="F10" s="65">
        <v>21058000</v>
      </c>
    </row>
    <row r="11" spans="1:7" ht="12" customHeight="1" x14ac:dyDescent="0.25">
      <c r="A11" s="40" t="s">
        <v>33</v>
      </c>
      <c r="B11" s="40"/>
      <c r="C11" s="43">
        <v>913962588</v>
      </c>
      <c r="D11" s="43">
        <v>958400000</v>
      </c>
      <c r="E11" s="42"/>
      <c r="F11" s="43">
        <v>972900000</v>
      </c>
    </row>
    <row r="12" spans="1:7" ht="12" customHeight="1" x14ac:dyDescent="0.25">
      <c r="A12" s="63" t="s">
        <v>69</v>
      </c>
      <c r="B12" s="66"/>
      <c r="C12" s="85">
        <v>1500000</v>
      </c>
      <c r="D12" s="65">
        <v>0</v>
      </c>
      <c r="E12" s="66"/>
      <c r="F12" s="85">
        <v>0</v>
      </c>
    </row>
    <row r="13" spans="1:7" ht="12" customHeight="1" x14ac:dyDescent="0.25">
      <c r="A13" s="40" t="s">
        <v>82</v>
      </c>
      <c r="B13" s="60"/>
      <c r="C13" s="90">
        <v>0</v>
      </c>
      <c r="D13" s="43">
        <v>200000</v>
      </c>
      <c r="E13" s="60"/>
      <c r="F13" s="90">
        <v>0</v>
      </c>
    </row>
    <row r="14" spans="1:7" s="62" customFormat="1" ht="12" customHeight="1" x14ac:dyDescent="0.25">
      <c r="A14" s="63" t="s">
        <v>75</v>
      </c>
      <c r="B14" s="63"/>
      <c r="C14" s="65">
        <v>175223</v>
      </c>
      <c r="D14" s="65">
        <v>589778</v>
      </c>
      <c r="E14" s="64"/>
      <c r="F14" s="65">
        <v>1099778</v>
      </c>
      <c r="G14" s="66"/>
    </row>
    <row r="15" spans="1:7" s="62" customFormat="1" ht="12" customHeight="1" x14ac:dyDescent="0.25">
      <c r="A15" s="40" t="s">
        <v>34</v>
      </c>
      <c r="B15" s="40"/>
      <c r="C15" s="43">
        <v>291000</v>
      </c>
      <c r="D15" s="43">
        <v>300000</v>
      </c>
      <c r="E15" s="42"/>
      <c r="F15" s="43">
        <v>300000</v>
      </c>
      <c r="G15" s="66"/>
    </row>
    <row r="16" spans="1:7" s="62" customFormat="1" ht="12" customHeight="1" x14ac:dyDescent="0.25">
      <c r="A16" s="63" t="s">
        <v>68</v>
      </c>
      <c r="B16" s="63"/>
      <c r="C16" s="65">
        <v>23549</v>
      </c>
      <c r="D16" s="65">
        <v>25000</v>
      </c>
      <c r="E16" s="64"/>
      <c r="F16" s="65">
        <v>25000</v>
      </c>
      <c r="G16" s="66"/>
    </row>
    <row r="17" spans="1:7" s="62" customFormat="1" ht="12" customHeight="1" x14ac:dyDescent="0.25">
      <c r="A17" s="40" t="s">
        <v>35</v>
      </c>
      <c r="B17" s="40"/>
      <c r="C17" s="43">
        <v>1455000</v>
      </c>
      <c r="D17" s="43">
        <v>1500000</v>
      </c>
      <c r="E17" s="42"/>
      <c r="F17" s="43">
        <v>1700000</v>
      </c>
      <c r="G17" s="66"/>
    </row>
    <row r="18" spans="1:7" s="62" customFormat="1" ht="12" customHeight="1" x14ac:dyDescent="0.25">
      <c r="A18" s="63" t="s">
        <v>72</v>
      </c>
      <c r="B18" s="63"/>
      <c r="C18" s="86">
        <v>150000</v>
      </c>
      <c r="D18" s="86">
        <v>250000</v>
      </c>
      <c r="E18" s="64"/>
      <c r="F18" s="86">
        <v>250000</v>
      </c>
      <c r="G18" s="66"/>
    </row>
    <row r="19" spans="1:7" s="62" customFormat="1" ht="13.5" customHeight="1" x14ac:dyDescent="0.4">
      <c r="A19" s="40" t="s">
        <v>73</v>
      </c>
      <c r="B19" s="40"/>
      <c r="C19" s="97">
        <v>0</v>
      </c>
      <c r="D19" s="97">
        <v>450000</v>
      </c>
      <c r="E19" s="42"/>
      <c r="F19" s="97">
        <v>450000</v>
      </c>
      <c r="G19" s="66"/>
    </row>
    <row r="20" spans="1:7" s="62" customFormat="1" ht="12" customHeight="1" x14ac:dyDescent="0.25">
      <c r="A20" s="87" t="s">
        <v>27</v>
      </c>
      <c r="B20" s="87"/>
      <c r="C20" s="88">
        <f>SUM(C5:C19)</f>
        <v>4762573408</v>
      </c>
      <c r="D20" s="88">
        <f>SUM(D5:D19)</f>
        <v>4903168663</v>
      </c>
      <c r="E20" s="89"/>
      <c r="F20" s="88">
        <f>SUM(F5:F19)</f>
        <v>4952257016</v>
      </c>
      <c r="G20" s="66"/>
    </row>
    <row r="21" spans="1:7" s="62" customFormat="1" ht="12" customHeight="1" x14ac:dyDescent="0.25">
      <c r="A21" s="47" t="s">
        <v>6</v>
      </c>
      <c r="B21" s="59"/>
      <c r="C21" s="43">
        <v>3276272905</v>
      </c>
      <c r="D21" s="43">
        <v>3347474481</v>
      </c>
      <c r="E21" s="42"/>
      <c r="F21" s="43">
        <v>3382062834</v>
      </c>
      <c r="G21" s="66"/>
    </row>
    <row r="22" spans="1:7" s="62" customFormat="1" ht="12" customHeight="1" x14ac:dyDescent="0.25">
      <c r="A22" s="78" t="s">
        <v>8</v>
      </c>
      <c r="B22" s="79"/>
      <c r="C22" s="65">
        <f>4980+151297908+54816278+913962588+343908779+22309970</f>
        <v>1486300503</v>
      </c>
      <c r="D22" s="65">
        <f>81973+153349742+69398880+958400000+349999054+24464533</f>
        <v>1555694182</v>
      </c>
      <c r="E22" s="64"/>
      <c r="F22" s="65">
        <v>1570194182</v>
      </c>
      <c r="G22" s="66"/>
    </row>
    <row r="23" spans="1:7" ht="12" customHeight="1" thickBot="1" x14ac:dyDescent="0.3">
      <c r="A23" s="66"/>
      <c r="B23" s="66"/>
      <c r="C23" s="63"/>
      <c r="D23" s="63"/>
      <c r="E23" s="63"/>
      <c r="F23" s="63"/>
      <c r="G23" s="66"/>
    </row>
    <row r="24" spans="1:7" ht="15" thickBot="1" x14ac:dyDescent="0.3">
      <c r="A24" s="51" t="s">
        <v>5</v>
      </c>
      <c r="B24" s="52"/>
      <c r="C24" s="53">
        <v>0</v>
      </c>
      <c r="D24" s="53">
        <v>0</v>
      </c>
      <c r="E24" s="54"/>
      <c r="F24" s="53">
        <v>0</v>
      </c>
      <c r="G24" s="55"/>
    </row>
    <row r="27" spans="1:7" x14ac:dyDescent="0.25">
      <c r="A27" s="20"/>
      <c r="B27" s="20"/>
      <c r="C27" s="24"/>
      <c r="D27" s="24"/>
      <c r="E27" s="24"/>
      <c r="F27" s="24"/>
    </row>
  </sheetData>
  <sheetProtection password="CA89" sheet="1" formatCells="0" insertRows="0" selectLockedCells="1"/>
  <protectedRanges>
    <protectedRange password="CA89" sqref="B4:G4 E5 G5:G11 B5:B11 A14:A16 A12:G13 G14:G19 B14:B19 A4:A11 A20:G27" name="Range1" securityDescriptor="O:WDG:WDD:(A;;CC;;;S-1-5-21-3219648850-738124763-203175933-17295)(A;;CC;;;S-1-5-21-3219648850-738124763-203175933-17298)(A;;CC;;;S-1-5-21-3219648850-738124763-203175933-17299)"/>
    <protectedRange password="CA89" sqref="C5:D5" name="Range1_1" securityDescriptor="O:WDG:WDD:(A;;CC;;;S-1-5-21-3219648850-738124763-203175933-17295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8)(A;;CC;;;S-1-5-21-3219648850-738124763-203175933-17299)"/>
    <protectedRange password="CA89" sqref="C6:F11 C14:F19" name="Range1_5" securityDescriptor="O:WDG:WDD:(A;;CC;;;S-1-5-21-3219648850-738124763-203175933-17295)(A;;CC;;;S-1-5-21-3219648850-738124763-203175933-17298)(A;;CC;;;S-1-5-21-3219648850-738124763-203175933-17299)"/>
    <protectedRange password="CA89" sqref="A1:G3" name="Range1_3" securityDescriptor="O:WDG:WDD:(A;;CC;;;S-1-5-21-3219648850-738124763-203175933-17295)(A;;CC;;;S-1-5-21-3219648850-738124763-203175933-17298)(A;;CC;;;S-1-5-21-3219648850-738124763-203175933-17299)"/>
  </protectedRanges>
  <conditionalFormatting sqref="H1:XFD3 A4:XFD1048576">
    <cfRule type="expression" priority="6" stopIfTrue="1">
      <formula>CELL("protect",A1)=1</formula>
    </cfRule>
    <cfRule type="expression" dxfId="12" priority="7">
      <formula>CELL("protect",A1)=1</formula>
    </cfRule>
  </conditionalFormatting>
  <conditionalFormatting sqref="A1:G3">
    <cfRule type="expression" priority="1" stopIfTrue="1">
      <formula>CELL("protect",A1)=1</formula>
    </cfRule>
    <cfRule type="expression" dxfId="11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workbookViewId="0">
      <pane ySplit="3" topLeftCell="A7" activePane="bottomLeft" state="frozen"/>
      <selection pane="bottomLeft"/>
    </sheetView>
  </sheetViews>
  <sheetFormatPr defaultColWidth="8.75" defaultRowHeight="14.25" x14ac:dyDescent="0.25"/>
  <cols>
    <col min="1" max="1" width="41.5" style="5" customWidth="1"/>
    <col min="2" max="4" width="13.625" style="5" customWidth="1"/>
    <col min="5" max="5" width="1.625" style="5" customWidth="1"/>
    <col min="6" max="6" width="13.625" style="5" customWidth="1"/>
    <col min="7" max="7" width="1.625" style="5" customWidth="1"/>
    <col min="8" max="16384" width="8.75" style="5"/>
  </cols>
  <sheetData>
    <row r="1" spans="1:8" ht="12" customHeight="1" x14ac:dyDescent="0.25">
      <c r="A1" s="25"/>
      <c r="B1" s="26"/>
      <c r="C1" s="27"/>
      <c r="D1" s="27"/>
      <c r="E1" s="27"/>
      <c r="F1" s="27" t="s">
        <v>81</v>
      </c>
      <c r="G1" s="28"/>
    </row>
    <row r="2" spans="1:8" ht="12" customHeight="1" x14ac:dyDescent="0.25">
      <c r="A2" s="29"/>
      <c r="B2" s="30"/>
      <c r="C2" s="31" t="s">
        <v>60</v>
      </c>
      <c r="D2" s="31" t="s">
        <v>64</v>
      </c>
      <c r="E2" s="31"/>
      <c r="F2" s="31" t="s">
        <v>3</v>
      </c>
      <c r="G2" s="32"/>
    </row>
    <row r="3" spans="1:8" ht="12" customHeight="1" thickBot="1" x14ac:dyDescent="0.3">
      <c r="A3" s="33"/>
      <c r="B3" s="34"/>
      <c r="C3" s="35" t="s">
        <v>0</v>
      </c>
      <c r="D3" s="35" t="s">
        <v>1</v>
      </c>
      <c r="E3" s="35"/>
      <c r="F3" s="35" t="s">
        <v>4</v>
      </c>
      <c r="G3" s="36"/>
    </row>
    <row r="4" spans="1:8" ht="12" customHeight="1" x14ac:dyDescent="0.25"/>
    <row r="5" spans="1:8" ht="12" customHeight="1" x14ac:dyDescent="0.25">
      <c r="A5" s="40" t="s">
        <v>20</v>
      </c>
      <c r="B5" s="60"/>
      <c r="C5" s="41">
        <v>12504585</v>
      </c>
      <c r="D5" s="41">
        <v>14510426</v>
      </c>
      <c r="E5" s="42"/>
      <c r="F5" s="41">
        <v>15187594</v>
      </c>
    </row>
    <row r="6" spans="1:8" s="66" customFormat="1" ht="12" customHeight="1" x14ac:dyDescent="0.25">
      <c r="A6" s="63" t="s">
        <v>36</v>
      </c>
      <c r="C6" s="65">
        <v>1841231</v>
      </c>
      <c r="D6" s="65">
        <v>2965835</v>
      </c>
      <c r="E6" s="64"/>
      <c r="F6" s="65">
        <v>3010064</v>
      </c>
    </row>
    <row r="7" spans="1:8" s="66" customFormat="1" ht="12" customHeight="1" x14ac:dyDescent="0.25">
      <c r="A7" s="40" t="s">
        <v>58</v>
      </c>
      <c r="B7" s="60"/>
      <c r="C7" s="43">
        <v>242501</v>
      </c>
      <c r="D7" s="43">
        <v>400000</v>
      </c>
      <c r="E7" s="42"/>
      <c r="F7" s="43">
        <v>400000</v>
      </c>
    </row>
    <row r="8" spans="1:8" s="66" customFormat="1" ht="12" customHeight="1" x14ac:dyDescent="0.25">
      <c r="A8" s="63" t="s">
        <v>37</v>
      </c>
      <c r="C8" s="65">
        <v>234643676</v>
      </c>
      <c r="D8" s="65">
        <v>260000000</v>
      </c>
      <c r="E8" s="64"/>
      <c r="F8" s="65">
        <v>260000000</v>
      </c>
    </row>
    <row r="9" spans="1:8" s="66" customFormat="1" ht="12" customHeight="1" x14ac:dyDescent="0.25">
      <c r="A9" s="40" t="s">
        <v>56</v>
      </c>
      <c r="B9" s="60"/>
      <c r="C9" s="43">
        <v>1133216</v>
      </c>
      <c r="D9" s="43">
        <v>1500000</v>
      </c>
      <c r="E9" s="42"/>
      <c r="F9" s="43">
        <v>1500000</v>
      </c>
    </row>
    <row r="10" spans="1:8" s="66" customFormat="1" ht="12" customHeight="1" x14ac:dyDescent="0.25">
      <c r="A10" s="63" t="s">
        <v>52</v>
      </c>
      <c r="C10" s="65">
        <v>176</v>
      </c>
      <c r="D10" s="65">
        <v>9027</v>
      </c>
      <c r="E10" s="64"/>
      <c r="F10" s="65">
        <v>9027</v>
      </c>
    </row>
    <row r="11" spans="1:8" s="66" customFormat="1" ht="12" customHeight="1" x14ac:dyDescent="0.25">
      <c r="A11" s="40" t="s">
        <v>38</v>
      </c>
      <c r="B11" s="60"/>
      <c r="C11" s="43">
        <v>121250</v>
      </c>
      <c r="D11" s="43">
        <v>275000</v>
      </c>
      <c r="E11" s="42"/>
      <c r="F11" s="43">
        <v>0</v>
      </c>
    </row>
    <row r="12" spans="1:8" s="66" customFormat="1" ht="12" customHeight="1" x14ac:dyDescent="0.25">
      <c r="A12" s="63" t="s">
        <v>39</v>
      </c>
      <c r="C12" s="65">
        <v>6191982</v>
      </c>
      <c r="D12" s="65">
        <v>10517913</v>
      </c>
      <c r="E12" s="64"/>
      <c r="F12" s="65">
        <v>14342630</v>
      </c>
    </row>
    <row r="13" spans="1:8" s="62" customFormat="1" ht="12" customHeight="1" x14ac:dyDescent="0.25">
      <c r="A13" s="40" t="s">
        <v>40</v>
      </c>
      <c r="B13" s="60"/>
      <c r="C13" s="43">
        <v>20425093</v>
      </c>
      <c r="D13" s="43">
        <v>21583468</v>
      </c>
      <c r="E13" s="42"/>
      <c r="F13" s="43">
        <v>21583468</v>
      </c>
      <c r="G13" s="66"/>
      <c r="H13" s="66"/>
    </row>
    <row r="14" spans="1:8" ht="12" customHeight="1" x14ac:dyDescent="0.25">
      <c r="A14" s="6" t="s">
        <v>41</v>
      </c>
      <c r="C14" s="8">
        <v>33001323</v>
      </c>
      <c r="D14" s="8">
        <v>44000000</v>
      </c>
      <c r="E14" s="7"/>
      <c r="F14" s="8">
        <v>44000000</v>
      </c>
    </row>
    <row r="15" spans="1:8" s="66" customFormat="1" ht="12" customHeight="1" x14ac:dyDescent="0.25">
      <c r="A15" s="40" t="s">
        <v>53</v>
      </c>
      <c r="B15" s="60"/>
      <c r="C15" s="43">
        <v>167969</v>
      </c>
      <c r="D15" s="43">
        <v>0</v>
      </c>
      <c r="E15" s="42"/>
      <c r="F15" s="43">
        <v>0</v>
      </c>
    </row>
    <row r="16" spans="1:8" s="66" customFormat="1" ht="12" customHeight="1" x14ac:dyDescent="0.25">
      <c r="A16" s="63" t="s">
        <v>57</v>
      </c>
      <c r="C16" s="65">
        <v>2822952</v>
      </c>
      <c r="D16" s="65">
        <v>3500000</v>
      </c>
      <c r="E16" s="64"/>
      <c r="F16" s="65">
        <v>3500000</v>
      </c>
    </row>
    <row r="17" spans="1:7" s="66" customFormat="1" ht="12" customHeight="1" x14ac:dyDescent="0.25">
      <c r="A17" s="40" t="s">
        <v>42</v>
      </c>
      <c r="B17" s="60"/>
      <c r="C17" s="43">
        <v>4533995</v>
      </c>
      <c r="D17" s="43">
        <v>5800000</v>
      </c>
      <c r="E17" s="42"/>
      <c r="F17" s="43">
        <v>5800000</v>
      </c>
    </row>
    <row r="18" spans="1:7" s="66" customFormat="1" ht="12" customHeight="1" x14ac:dyDescent="0.25">
      <c r="A18" s="63" t="s">
        <v>59</v>
      </c>
      <c r="C18" s="65">
        <v>7999576</v>
      </c>
      <c r="D18" s="65">
        <v>8000000</v>
      </c>
      <c r="E18" s="64"/>
      <c r="F18" s="65">
        <v>21000000</v>
      </c>
    </row>
    <row r="19" spans="1:7" s="66" customFormat="1" ht="12" customHeight="1" x14ac:dyDescent="0.25">
      <c r="A19" s="40" t="s">
        <v>43</v>
      </c>
      <c r="B19" s="60"/>
      <c r="C19" s="43">
        <v>228589</v>
      </c>
      <c r="D19" s="43">
        <v>300000</v>
      </c>
      <c r="E19" s="42"/>
      <c r="F19" s="43">
        <v>300000</v>
      </c>
    </row>
    <row r="20" spans="1:7" s="66" customFormat="1" ht="12" customHeight="1" x14ac:dyDescent="0.25">
      <c r="A20" s="63" t="s">
        <v>44</v>
      </c>
      <c r="C20" s="65">
        <v>9700</v>
      </c>
      <c r="D20" s="65">
        <v>10000</v>
      </c>
      <c r="E20" s="64"/>
      <c r="F20" s="65">
        <v>0</v>
      </c>
    </row>
    <row r="21" spans="1:7" s="66" customFormat="1" ht="12" customHeight="1" x14ac:dyDescent="0.25">
      <c r="A21" s="40" t="s">
        <v>54</v>
      </c>
      <c r="B21" s="60"/>
      <c r="C21" s="43">
        <v>27180</v>
      </c>
      <c r="D21" s="43">
        <v>40000</v>
      </c>
      <c r="E21" s="42"/>
      <c r="F21" s="43">
        <v>40000</v>
      </c>
    </row>
    <row r="22" spans="1:7" s="66" customFormat="1" ht="12" customHeight="1" x14ac:dyDescent="0.25">
      <c r="A22" s="63" t="s">
        <v>45</v>
      </c>
      <c r="C22" s="65">
        <v>105395017</v>
      </c>
      <c r="D22" s="65">
        <v>131020520</v>
      </c>
      <c r="E22" s="64"/>
      <c r="F22" s="65">
        <v>135363121</v>
      </c>
    </row>
    <row r="23" spans="1:7" s="66" customFormat="1" ht="12" customHeight="1" x14ac:dyDescent="0.25">
      <c r="A23" s="40" t="s">
        <v>46</v>
      </c>
      <c r="B23" s="60"/>
      <c r="C23" s="43">
        <v>53252448</v>
      </c>
      <c r="D23" s="43">
        <v>58686301</v>
      </c>
      <c r="E23" s="42"/>
      <c r="F23" s="43">
        <v>59686301</v>
      </c>
    </row>
    <row r="24" spans="1:7" s="66" customFormat="1" ht="12" customHeight="1" x14ac:dyDescent="0.25">
      <c r="A24" s="92" t="s">
        <v>47</v>
      </c>
      <c r="C24" s="65">
        <v>364847035</v>
      </c>
      <c r="D24" s="65">
        <v>398246366</v>
      </c>
      <c r="E24" s="68"/>
      <c r="F24" s="65">
        <v>396746366</v>
      </c>
    </row>
    <row r="25" spans="1:7" s="66" customFormat="1" ht="12" customHeight="1" x14ac:dyDescent="0.25">
      <c r="A25" s="40" t="s">
        <v>70</v>
      </c>
      <c r="B25" s="60"/>
      <c r="C25" s="43">
        <v>0</v>
      </c>
      <c r="D25" s="43">
        <v>283148</v>
      </c>
      <c r="E25" s="42"/>
      <c r="F25" s="43">
        <v>283148</v>
      </c>
    </row>
    <row r="26" spans="1:7" s="66" customFormat="1" ht="13.5" customHeight="1" x14ac:dyDescent="0.25">
      <c r="A26" s="63" t="s">
        <v>71</v>
      </c>
      <c r="C26" s="94">
        <v>0</v>
      </c>
      <c r="D26" s="94">
        <v>400000</v>
      </c>
      <c r="E26" s="63"/>
      <c r="F26" s="94">
        <v>695804</v>
      </c>
    </row>
    <row r="27" spans="1:7" ht="12" customHeight="1" x14ac:dyDescent="0.25">
      <c r="A27" s="45" t="s">
        <v>27</v>
      </c>
      <c r="B27" s="93"/>
      <c r="C27" s="46">
        <f>SUM(C5:C26)</f>
        <v>849389494</v>
      </c>
      <c r="D27" s="46">
        <f>SUM(D5:D26)</f>
        <v>962048004</v>
      </c>
      <c r="E27" s="58"/>
      <c r="F27" s="46">
        <f>SUM(F5:F26)</f>
        <v>983447523</v>
      </c>
    </row>
    <row r="28" spans="1:7" s="66" customFormat="1" ht="12" customHeight="1" x14ac:dyDescent="0.25">
      <c r="A28" s="78" t="s">
        <v>6</v>
      </c>
      <c r="B28" s="79"/>
      <c r="C28" s="65">
        <v>138407557</v>
      </c>
      <c r="D28" s="65">
        <v>142811750</v>
      </c>
      <c r="E28" s="65"/>
      <c r="F28" s="65">
        <v>143580149</v>
      </c>
    </row>
    <row r="29" spans="1:7" s="66" customFormat="1" ht="12" customHeight="1" x14ac:dyDescent="0.25">
      <c r="A29" s="47" t="s">
        <v>7</v>
      </c>
      <c r="B29" s="59"/>
      <c r="C29" s="43">
        <v>666440071</v>
      </c>
      <c r="D29" s="43">
        <v>769569581</v>
      </c>
      <c r="E29" s="43"/>
      <c r="F29" s="43">
        <v>792531755</v>
      </c>
    </row>
    <row r="30" spans="1:7" s="66" customFormat="1" ht="12" customHeight="1" x14ac:dyDescent="0.25">
      <c r="A30" s="78" t="s">
        <v>8</v>
      </c>
      <c r="B30" s="79"/>
      <c r="C30" s="65">
        <v>44541866</v>
      </c>
      <c r="D30" s="65">
        <v>49666673</v>
      </c>
      <c r="E30" s="65"/>
      <c r="F30" s="65">
        <v>47335619</v>
      </c>
    </row>
    <row r="31" spans="1:7" ht="12" customHeight="1" thickBot="1" x14ac:dyDescent="0.3">
      <c r="C31" s="7"/>
      <c r="D31" s="7"/>
      <c r="E31" s="7"/>
      <c r="F31" s="7"/>
    </row>
    <row r="32" spans="1:7" ht="12" customHeight="1" thickBot="1" x14ac:dyDescent="0.3">
      <c r="A32" s="51" t="s">
        <v>5</v>
      </c>
      <c r="B32" s="52"/>
      <c r="C32" s="77">
        <f>197.02+10.63+627.08</f>
        <v>834.73</v>
      </c>
      <c r="D32" s="77">
        <f>210.91+11.75+659.2</f>
        <v>881.86</v>
      </c>
      <c r="E32" s="54"/>
      <c r="F32" s="77">
        <v>884.86</v>
      </c>
      <c r="G32" s="55"/>
    </row>
  </sheetData>
  <sheetProtection password="CA89" sheet="1" formatCells="0" insertRows="0" selectLockedCells="1"/>
  <protectedRanges>
    <protectedRange password="CA89" sqref="A4:G4 E24 E32 G32 A27:A32 B27:G31 B32 G5:G26 B5:B26 A33:G35" name="Range1" securityDescriptor="O:WDG:WDD:(A;;CC;;;S-1-5-21-3219648850-738124763-203175933-17295)(A;;CC;;;S-1-5-21-3219648850-738124763-203175933-17298)(A;;CC;;;S-1-5-21-3219648850-738124763-203175933-17299)"/>
    <protectedRange password="CA89" sqref="A5:A26" name="Range1_1" securityDescriptor="O:WDG:WDD:(A;;CC;;;S-1-5-21-3219648850-738124763-203175933-17295)(A;;CC;;;S-1-5-21-3219648850-738124763-203175933-17298)(A;;CC;;;S-1-5-21-3219648850-738124763-203175933-17299)"/>
    <protectedRange password="CA89" sqref="E5" name="Range1_2" securityDescriptor="O:WDG:WDD:(A;;CC;;;S-1-5-21-3219648850-738124763-203175933-17295)(A;;CC;;;S-1-5-21-3219648850-738124763-203175933-17298)(A;;CC;;;S-1-5-21-3219648850-738124763-203175933-17299)"/>
    <protectedRange password="CA89" sqref="C5:D5" name="Range1_6" securityDescriptor="O:WDG:WDD:(A;;CC;;;S-1-5-21-3219648850-738124763-203175933-17295)(A;;CC;;;S-1-5-21-3219648850-738124763-203175933-17298)(A;;CC;;;S-1-5-21-3219648850-738124763-203175933-17299)"/>
    <protectedRange password="CA89" sqref="F5" name="Range1_7" securityDescriptor="O:WDG:WDD:(A;;CC;;;S-1-5-21-3219648850-738124763-203175933-17295)(A;;CC;;;S-1-5-21-3219648850-738124763-203175933-17298)(A;;CC;;;S-1-5-21-3219648850-738124763-203175933-17299)"/>
    <protectedRange password="CA89" sqref="C24:D24" name="Range1_8" securityDescriptor="O:WDG:WDD:(A;;CC;;;S-1-5-21-3219648850-738124763-203175933-17295)(A;;CC;;;S-1-5-21-3219648850-738124763-203175933-17298)(A;;CC;;;S-1-5-21-3219648850-738124763-203175933-17299)"/>
    <protectedRange password="CA89" sqref="F15 F17:F24 C15:E23 C25:F26 C6:F14" name="Range1_10" securityDescriptor="O:WDG:WDD:(A;;CC;;;S-1-5-21-3219648850-738124763-203175933-17295)(A;;CC;;;S-1-5-21-3219648850-738124763-203175933-17298)(A;;CC;;;S-1-5-21-3219648850-738124763-203175933-17299)"/>
    <protectedRange password="CA89" sqref="F32 C32:D32" name="Range1_14" securityDescriptor="O:WDG:WDD:(A;;CC;;;S-1-5-21-3219648850-738124763-203175933-17295)(A;;CC;;;S-1-5-21-3219648850-738124763-203175933-17298)(A;;CC;;;S-1-5-21-3219648850-738124763-203175933-17299)"/>
    <protectedRange password="CA89" sqref="A1:G3" name="Range1_3" securityDescriptor="O:WDG:WDD:(A;;CC;;;S-1-5-21-3219648850-738124763-203175933-17295)(A;;CC;;;S-1-5-21-3219648850-738124763-203175933-17298)(A;;CC;;;S-1-5-21-3219648850-738124763-203175933-17299)"/>
  </protectedRanges>
  <conditionalFormatting sqref="A16:E21 G16:XFD21 F17:F21 H1:XFD3 A4:XFD15 A22:XFD1048576">
    <cfRule type="expression" priority="8" stopIfTrue="1">
      <formula>CELL("protect",A1)=1</formula>
    </cfRule>
    <cfRule type="expression" dxfId="10" priority="9">
      <formula>CELL("protect",A1)=1</formula>
    </cfRule>
  </conditionalFormatting>
  <conditionalFormatting sqref="F16">
    <cfRule type="expression" priority="3" stopIfTrue="1">
      <formula>CELL("protect",F16)=1</formula>
    </cfRule>
    <cfRule type="expression" dxfId="9" priority="4">
      <formula>CELL("protect",F16)=1</formula>
    </cfRule>
  </conditionalFormatting>
  <conditionalFormatting sqref="A1:G3">
    <cfRule type="expression" priority="1" stopIfTrue="1">
      <formula>CELL("protect",A1)=1</formula>
    </cfRule>
    <cfRule type="expression" dxfId="8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workbookViewId="0">
      <pane ySplit="3" topLeftCell="A4" activePane="bottomLeft" state="frozen"/>
      <selection pane="bottomLeft"/>
    </sheetView>
  </sheetViews>
  <sheetFormatPr defaultColWidth="8.75" defaultRowHeight="14.25" x14ac:dyDescent="0.25"/>
  <cols>
    <col min="1" max="1" width="41.5" style="5" customWidth="1"/>
    <col min="2" max="4" width="13.625" style="5" customWidth="1"/>
    <col min="5" max="5" width="1.625" style="5" customWidth="1"/>
    <col min="6" max="6" width="13.625" style="5" customWidth="1"/>
    <col min="7" max="7" width="1.625" style="5" customWidth="1"/>
    <col min="8" max="16384" width="8.75" style="5"/>
  </cols>
  <sheetData>
    <row r="1" spans="1:7" ht="12" customHeight="1" x14ac:dyDescent="0.25">
      <c r="A1" s="25"/>
      <c r="B1" s="26"/>
      <c r="C1" s="27"/>
      <c r="D1" s="27"/>
      <c r="E1" s="27"/>
      <c r="F1" s="27" t="s">
        <v>81</v>
      </c>
      <c r="G1" s="28"/>
    </row>
    <row r="2" spans="1:7" ht="12" customHeight="1" x14ac:dyDescent="0.25">
      <c r="A2" s="29"/>
      <c r="B2" s="30"/>
      <c r="C2" s="31" t="s">
        <v>60</v>
      </c>
      <c r="D2" s="31" t="s">
        <v>64</v>
      </c>
      <c r="E2" s="31"/>
      <c r="F2" s="31" t="s">
        <v>3</v>
      </c>
      <c r="G2" s="32"/>
    </row>
    <row r="3" spans="1:7" ht="12" customHeight="1" thickBot="1" x14ac:dyDescent="0.3">
      <c r="A3" s="33"/>
      <c r="B3" s="34"/>
      <c r="C3" s="35" t="s">
        <v>0</v>
      </c>
      <c r="D3" s="35" t="s">
        <v>1</v>
      </c>
      <c r="E3" s="35"/>
      <c r="F3" s="35" t="s">
        <v>4</v>
      </c>
      <c r="G3" s="36"/>
    </row>
    <row r="4" spans="1:7" ht="12" customHeight="1" x14ac:dyDescent="0.25"/>
    <row r="5" spans="1:7" ht="12" customHeight="1" x14ac:dyDescent="0.25">
      <c r="A5" s="40" t="s">
        <v>21</v>
      </c>
      <c r="B5" s="40"/>
      <c r="C5" s="41">
        <v>48361714</v>
      </c>
      <c r="D5" s="41">
        <v>54825482</v>
      </c>
      <c r="E5" s="57"/>
      <c r="F5" s="41">
        <v>55636560</v>
      </c>
    </row>
    <row r="6" spans="1:7" ht="12" customHeight="1" x14ac:dyDescent="0.25">
      <c r="A6" s="6" t="s">
        <v>76</v>
      </c>
      <c r="B6" s="6"/>
      <c r="C6" s="8">
        <v>925</v>
      </c>
      <c r="D6" s="8">
        <v>49500</v>
      </c>
      <c r="E6" s="7"/>
      <c r="F6" s="8">
        <v>49500</v>
      </c>
    </row>
    <row r="7" spans="1:7" ht="12" customHeight="1" x14ac:dyDescent="0.25">
      <c r="A7" s="40" t="s">
        <v>77</v>
      </c>
      <c r="B7" s="40"/>
      <c r="C7" s="43">
        <v>416036</v>
      </c>
      <c r="D7" s="43">
        <v>1500000</v>
      </c>
      <c r="E7" s="42"/>
      <c r="F7" s="43">
        <v>1500000</v>
      </c>
    </row>
    <row r="8" spans="1:7" ht="13.5" customHeight="1" x14ac:dyDescent="0.25">
      <c r="A8" s="6" t="s">
        <v>48</v>
      </c>
      <c r="B8" s="6"/>
      <c r="C8" s="102">
        <v>0</v>
      </c>
      <c r="D8" s="102">
        <v>200000</v>
      </c>
      <c r="E8" s="23"/>
      <c r="F8" s="102">
        <v>200000</v>
      </c>
    </row>
    <row r="9" spans="1:7" ht="12" customHeight="1" x14ac:dyDescent="0.25">
      <c r="A9" s="45" t="s">
        <v>27</v>
      </c>
      <c r="B9" s="45"/>
      <c r="C9" s="46">
        <f>SUM(C5:C8)</f>
        <v>48778675</v>
      </c>
      <c r="D9" s="46">
        <f>SUM(D5:D8)</f>
        <v>56574982</v>
      </c>
      <c r="E9" s="58"/>
      <c r="F9" s="46">
        <f>SUM(F5:F8)</f>
        <v>57386060</v>
      </c>
    </row>
    <row r="10" spans="1:7" ht="12" customHeight="1" x14ac:dyDescent="0.25">
      <c r="A10" s="78" t="s">
        <v>6</v>
      </c>
      <c r="B10" s="79"/>
      <c r="C10" s="65">
        <v>43200914</v>
      </c>
      <c r="D10" s="65">
        <v>45199497</v>
      </c>
      <c r="E10" s="65"/>
      <c r="F10" s="65">
        <v>45989149</v>
      </c>
    </row>
    <row r="11" spans="1:7" ht="12" customHeight="1" x14ac:dyDescent="0.25">
      <c r="A11" s="47" t="s">
        <v>7</v>
      </c>
      <c r="B11" s="59"/>
      <c r="C11" s="43">
        <v>3295786</v>
      </c>
      <c r="D11" s="43">
        <v>7749630</v>
      </c>
      <c r="E11" s="43"/>
      <c r="F11" s="43">
        <v>7771056</v>
      </c>
    </row>
    <row r="12" spans="1:7" ht="12" customHeight="1" x14ac:dyDescent="0.25">
      <c r="A12" s="78" t="s">
        <v>8</v>
      </c>
      <c r="B12" s="79"/>
      <c r="C12" s="65">
        <f>1865014+0+416036+925</f>
        <v>2281975</v>
      </c>
      <c r="D12" s="65">
        <f>1876355+200000+1500000+49500</f>
        <v>3625855</v>
      </c>
      <c r="E12" s="65"/>
      <c r="F12" s="65">
        <v>3625855</v>
      </c>
    </row>
    <row r="13" spans="1:7" ht="12" customHeight="1" thickBot="1" x14ac:dyDescent="0.3">
      <c r="C13" s="7"/>
      <c r="D13" s="7"/>
      <c r="E13" s="7"/>
      <c r="F13" s="7"/>
    </row>
    <row r="14" spans="1:7" ht="12" customHeight="1" thickBot="1" x14ac:dyDescent="0.3">
      <c r="A14" s="51" t="s">
        <v>5</v>
      </c>
      <c r="B14" s="52"/>
      <c r="C14" s="77">
        <v>631.21</v>
      </c>
      <c r="D14" s="77">
        <v>677.92</v>
      </c>
      <c r="E14" s="77"/>
      <c r="F14" s="77">
        <v>672.92</v>
      </c>
      <c r="G14" s="55"/>
    </row>
  </sheetData>
  <sheetProtection password="CA89" sheet="1" formatCells="0" insertRows="0" selectLockedCells="1"/>
  <protectedRanges>
    <protectedRange password="CA89" sqref="C5:D5" name="Range1_1" securityDescriptor="O:WDG:WDD:(A;;CC;;;S-1-5-21-3219648850-738124763-203175933-17295)(A;;CC;;;S-1-5-21-3219648850-738124763-203175933-17298)(A;;CC;;;S-1-5-21-3219648850-738124763-203175933-17299)"/>
    <protectedRange password="CA89" sqref="F5" name="Range1_2" securityDescriptor="O:WDG:WDD:(A;;CC;;;S-1-5-21-3219648850-738124763-203175933-17295)(A;;CC;;;S-1-5-21-3219648850-738124763-203175933-17298)(A;;CC;;;S-1-5-21-3219648850-738124763-203175933-17299)"/>
    <protectedRange password="CA89" sqref="C8:D8" name="Range1_3" securityDescriptor="O:WDG:WDD:(A;;CC;;;S-1-5-21-3219648850-738124763-203175933-17295)(A;;CC;;;S-1-5-21-3219648850-738124763-203175933-17298)(A;;CC;;;S-1-5-21-3219648850-738124763-203175933-17299)"/>
    <protectedRange password="CA89" sqref="F8" name="Range1_4" securityDescriptor="O:WDG:WDD:(A;;CC;;;S-1-5-21-3219648850-738124763-203175933-17295)(A;;CC;;;S-1-5-21-3219648850-738124763-203175933-17298)(A;;CC;;;S-1-5-21-3219648850-738124763-203175933-17299)"/>
    <protectedRange password="CA89" sqref="C6:F7" name="Range1_5" securityDescriptor="O:WDG:WDD:(A;;CC;;;S-1-5-21-3219648850-738124763-203175933-17295)(A;;CC;;;S-1-5-21-3219648850-738124763-203175933-17298)(A;;CC;;;S-1-5-21-3219648850-738124763-203175933-17299)"/>
    <protectedRange password="CA89" sqref="C14:F14" name="Range1_12" securityDescriptor="O:WDG:WDD:(A;;CC;;;S-1-5-21-3219648850-738124763-203175933-17295)(A;;CC;;;S-1-5-21-3219648850-738124763-203175933-17298)(A;;CC;;;S-1-5-21-3219648850-738124763-203175933-17299)"/>
    <protectedRange password="CA89" sqref="A1:G3" name="Range1" securityDescriptor="O:WDG:WDD:(A;;CC;;;S-1-5-21-3219648850-738124763-203175933-17295)(A;;CC;;;S-1-5-21-3219648850-738124763-203175933-17298)(A;;CC;;;S-1-5-21-3219648850-738124763-203175933-17299)"/>
  </protectedRanges>
  <conditionalFormatting sqref="H1:XFD3 A4:XFD1048576">
    <cfRule type="expression" priority="6" stopIfTrue="1">
      <formula>CELL("protect",A1)=1</formula>
    </cfRule>
    <cfRule type="expression" dxfId="7" priority="7">
      <formula>CELL("protect",A1)=1</formula>
    </cfRule>
  </conditionalFormatting>
  <conditionalFormatting sqref="A1:G3">
    <cfRule type="expression" priority="1" stopIfTrue="1">
      <formula>CELL("protect",A1)=1</formula>
    </cfRule>
    <cfRule type="expression" dxfId="6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workbookViewId="0">
      <pane ySplit="3" topLeftCell="A4" activePane="bottomLeft" state="frozen"/>
      <selection pane="bottomLeft"/>
    </sheetView>
  </sheetViews>
  <sheetFormatPr defaultColWidth="8.75" defaultRowHeight="14.25" x14ac:dyDescent="0.25"/>
  <cols>
    <col min="1" max="1" width="41.5" style="5" customWidth="1"/>
    <col min="2" max="4" width="13.625" style="5" customWidth="1"/>
    <col min="5" max="5" width="1.625" style="5" customWidth="1"/>
    <col min="6" max="6" width="13.625" style="5" customWidth="1"/>
    <col min="7" max="7" width="1.625" style="5" customWidth="1"/>
    <col min="8" max="16384" width="8.75" style="5"/>
  </cols>
  <sheetData>
    <row r="1" spans="1:7" ht="12" customHeight="1" x14ac:dyDescent="0.25">
      <c r="A1" s="25"/>
      <c r="B1" s="26"/>
      <c r="C1" s="27"/>
      <c r="D1" s="27"/>
      <c r="E1" s="27"/>
      <c r="F1" s="27" t="s">
        <v>81</v>
      </c>
      <c r="G1" s="28"/>
    </row>
    <row r="2" spans="1:7" ht="12" customHeight="1" x14ac:dyDescent="0.25">
      <c r="A2" s="29"/>
      <c r="B2" s="30"/>
      <c r="C2" s="31" t="s">
        <v>60</v>
      </c>
      <c r="D2" s="31" t="s">
        <v>64</v>
      </c>
      <c r="E2" s="31"/>
      <c r="F2" s="31" t="s">
        <v>3</v>
      </c>
      <c r="G2" s="32"/>
    </row>
    <row r="3" spans="1:7" ht="12" customHeight="1" thickBot="1" x14ac:dyDescent="0.3">
      <c r="A3" s="33"/>
      <c r="B3" s="34"/>
      <c r="C3" s="35" t="s">
        <v>0</v>
      </c>
      <c r="D3" s="35" t="s">
        <v>1</v>
      </c>
      <c r="E3" s="35"/>
      <c r="F3" s="35" t="s">
        <v>4</v>
      </c>
      <c r="G3" s="36"/>
    </row>
    <row r="4" spans="1:7" ht="12" customHeight="1" x14ac:dyDescent="0.25"/>
    <row r="5" spans="1:7" ht="12" customHeight="1" x14ac:dyDescent="0.25">
      <c r="A5" s="6" t="s">
        <v>62</v>
      </c>
      <c r="B5" s="6"/>
      <c r="C5" s="17"/>
      <c r="D5" s="17"/>
      <c r="E5" s="18"/>
      <c r="F5" s="17"/>
    </row>
    <row r="6" spans="1:7" ht="12" customHeight="1" x14ac:dyDescent="0.25">
      <c r="A6" s="45" t="s">
        <v>27</v>
      </c>
      <c r="B6" s="45"/>
      <c r="C6" s="61">
        <v>451795</v>
      </c>
      <c r="D6" s="61">
        <v>3578240</v>
      </c>
      <c r="E6" s="58"/>
      <c r="F6" s="61">
        <v>3585858</v>
      </c>
    </row>
    <row r="7" spans="1:7" ht="12" customHeight="1" x14ac:dyDescent="0.25">
      <c r="A7" s="78" t="s">
        <v>6</v>
      </c>
      <c r="B7" s="79"/>
      <c r="C7" s="65">
        <v>267812</v>
      </c>
      <c r="D7" s="65">
        <v>280535</v>
      </c>
      <c r="E7" s="65"/>
      <c r="F7" s="65">
        <v>0</v>
      </c>
    </row>
    <row r="8" spans="1:7" ht="12" customHeight="1" x14ac:dyDescent="0.25">
      <c r="A8" s="47" t="s">
        <v>7</v>
      </c>
      <c r="B8" s="59"/>
      <c r="C8" s="43">
        <v>0</v>
      </c>
      <c r="D8" s="43">
        <v>500000</v>
      </c>
      <c r="E8" s="43"/>
      <c r="F8" s="43">
        <v>500000</v>
      </c>
    </row>
    <row r="9" spans="1:7" ht="12" customHeight="1" x14ac:dyDescent="0.25">
      <c r="A9" s="78" t="s">
        <v>8</v>
      </c>
      <c r="B9" s="79"/>
      <c r="C9" s="65">
        <v>183983</v>
      </c>
      <c r="D9" s="65">
        <f>797705+2000000</f>
        <v>2797705</v>
      </c>
      <c r="E9" s="65"/>
      <c r="F9" s="65">
        <v>3085858</v>
      </c>
    </row>
    <row r="10" spans="1:7" ht="12" customHeight="1" thickBot="1" x14ac:dyDescent="0.3">
      <c r="C10" s="7"/>
      <c r="D10" s="7"/>
      <c r="E10" s="7"/>
      <c r="F10" s="7"/>
    </row>
    <row r="11" spans="1:7" ht="12" customHeight="1" thickBot="1" x14ac:dyDescent="0.3">
      <c r="A11" s="51" t="s">
        <v>5</v>
      </c>
      <c r="B11" s="52"/>
      <c r="C11" s="77">
        <v>1.87</v>
      </c>
      <c r="D11" s="77">
        <v>3</v>
      </c>
      <c r="E11" s="77"/>
      <c r="F11" s="77">
        <v>3</v>
      </c>
      <c r="G11" s="80"/>
    </row>
  </sheetData>
  <sheetProtection password="CA89" sheet="1" formatCells="0" insertRows="0" selectLockedCells="1"/>
  <protectedRanges>
    <protectedRange password="CA89" sqref="C6:D6" name="Range1_2" securityDescriptor="O:WDG:WDD:(A;;CC;;;S-1-5-21-3219648850-738124763-203175933-17295)(A;;CC;;;S-1-5-21-3219648850-738124763-203175933-17298)(A;;CC;;;S-1-5-21-3219648850-738124763-203175933-17299)"/>
    <protectedRange password="CA89" sqref="F6" name="Range1_2_1" securityDescriptor="O:WDG:WDD:(A;;CC;;;S-1-5-21-3219648850-738124763-203175933-17295)(A;;CC;;;S-1-5-21-3219648850-738124763-203175933-17298)(A;;CC;;;S-1-5-21-3219648850-738124763-203175933-17299)"/>
    <protectedRange password="CA89" sqref="A1:G3" name="Range1" securityDescriptor="O:WDG:WDD:(A;;CC;;;S-1-5-21-3219648850-738124763-203175933-17295)(A;;CC;;;S-1-5-21-3219648850-738124763-203175933-17298)(A;;CC;;;S-1-5-21-3219648850-738124763-203175933-17299)"/>
  </protectedRanges>
  <conditionalFormatting sqref="H1:XFD3 A4:XFD1048576">
    <cfRule type="expression" priority="5" stopIfTrue="1">
      <formula>CELL("protect",A1)=1</formula>
    </cfRule>
    <cfRule type="expression" dxfId="5" priority="6">
      <formula>CELL("protect",A1)=1</formula>
    </cfRule>
  </conditionalFormatting>
  <conditionalFormatting sqref="A1:G3">
    <cfRule type="expression" priority="1" stopIfTrue="1">
      <formula>CELL("protect",A1)=1</formula>
    </cfRule>
    <cfRule type="expression" dxfId="4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pane ySplit="3" topLeftCell="A4" activePane="bottomLeft" state="frozen"/>
      <selection pane="bottomLeft"/>
    </sheetView>
  </sheetViews>
  <sheetFormatPr defaultColWidth="8.75" defaultRowHeight="14.25" x14ac:dyDescent="0.25"/>
  <cols>
    <col min="1" max="1" width="41.5" style="5" customWidth="1"/>
    <col min="2" max="4" width="13.625" style="5" customWidth="1"/>
    <col min="5" max="5" width="1.625" style="5" customWidth="1"/>
    <col min="6" max="6" width="13.625" style="5" customWidth="1"/>
    <col min="7" max="7" width="1.625" style="5" customWidth="1"/>
    <col min="8" max="16384" width="8.75" style="5"/>
  </cols>
  <sheetData>
    <row r="1" spans="1:7" ht="12" customHeight="1" x14ac:dyDescent="0.25">
      <c r="A1" s="25"/>
      <c r="B1" s="26"/>
      <c r="C1" s="27"/>
      <c r="D1" s="27"/>
      <c r="E1" s="27"/>
      <c r="F1" s="27" t="s">
        <v>81</v>
      </c>
      <c r="G1" s="28"/>
    </row>
    <row r="2" spans="1:7" ht="12" customHeight="1" x14ac:dyDescent="0.25">
      <c r="A2" s="29"/>
      <c r="B2" s="30"/>
      <c r="C2" s="31" t="s">
        <v>60</v>
      </c>
      <c r="D2" s="31" t="s">
        <v>64</v>
      </c>
      <c r="E2" s="31"/>
      <c r="F2" s="31" t="s">
        <v>3</v>
      </c>
      <c r="G2" s="32"/>
    </row>
    <row r="3" spans="1:7" ht="12" customHeight="1" thickBot="1" x14ac:dyDescent="0.3">
      <c r="A3" s="33"/>
      <c r="B3" s="34"/>
      <c r="C3" s="35" t="s">
        <v>0</v>
      </c>
      <c r="D3" s="35" t="s">
        <v>1</v>
      </c>
      <c r="E3" s="35"/>
      <c r="F3" s="35" t="s">
        <v>4</v>
      </c>
      <c r="G3" s="36"/>
    </row>
    <row r="4" spans="1:7" ht="12" customHeight="1" x14ac:dyDescent="0.25"/>
    <row r="5" spans="1:7" ht="12" customHeight="1" x14ac:dyDescent="0.25">
      <c r="A5" s="6" t="s">
        <v>22</v>
      </c>
      <c r="B5" s="6"/>
      <c r="C5" s="17"/>
      <c r="D5" s="17"/>
      <c r="E5" s="18"/>
      <c r="F5" s="17"/>
    </row>
    <row r="6" spans="1:7" ht="12" customHeight="1" x14ac:dyDescent="0.25">
      <c r="A6" s="45" t="s">
        <v>27</v>
      </c>
      <c r="B6" s="45"/>
      <c r="C6" s="61">
        <v>558741</v>
      </c>
      <c r="D6" s="61">
        <v>1203305</v>
      </c>
      <c r="E6" s="58"/>
      <c r="F6" s="61">
        <v>1317159</v>
      </c>
    </row>
    <row r="7" spans="1:7" ht="12" customHeight="1" x14ac:dyDescent="0.25">
      <c r="A7" s="78" t="s">
        <v>6</v>
      </c>
      <c r="B7" s="79"/>
      <c r="C7" s="65">
        <v>488475</v>
      </c>
      <c r="D7" s="65">
        <v>799351</v>
      </c>
      <c r="E7" s="65"/>
      <c r="F7" s="65">
        <v>911912</v>
      </c>
    </row>
    <row r="8" spans="1:7" ht="12" customHeight="1" x14ac:dyDescent="0.25">
      <c r="A8" s="47" t="s">
        <v>8</v>
      </c>
      <c r="B8" s="59"/>
      <c r="C8" s="43">
        <v>70266</v>
      </c>
      <c r="D8" s="43">
        <f>150000+100000+153954</f>
        <v>403954</v>
      </c>
      <c r="E8" s="43"/>
      <c r="F8" s="43">
        <v>405247</v>
      </c>
    </row>
    <row r="9" spans="1:7" ht="12" customHeight="1" thickBot="1" x14ac:dyDescent="0.3">
      <c r="C9" s="7"/>
      <c r="D9" s="7"/>
      <c r="E9" s="7"/>
      <c r="F9" s="7"/>
    </row>
    <row r="10" spans="1:7" ht="12" customHeight="1" thickBot="1" x14ac:dyDescent="0.3">
      <c r="A10" s="51" t="s">
        <v>5</v>
      </c>
      <c r="B10" s="52"/>
      <c r="C10" s="77">
        <v>6.32</v>
      </c>
      <c r="D10" s="77">
        <v>8</v>
      </c>
      <c r="E10" s="77"/>
      <c r="F10" s="77">
        <v>8</v>
      </c>
      <c r="G10" s="80"/>
    </row>
  </sheetData>
  <sheetProtection password="CA89" sheet="1" formatCells="0" insertRows="0" selectLockedCells="1"/>
  <protectedRanges>
    <protectedRange password="CA89" sqref="C6:D6" name="Range1_2" securityDescriptor="O:WDG:WDD:(A;;CC;;;S-1-5-21-3219648850-738124763-203175933-17295)(A;;CC;;;S-1-5-21-3219648850-738124763-203175933-17298)(A;;CC;;;S-1-5-21-3219648850-738124763-203175933-17299)"/>
    <protectedRange password="CA89" sqref="F6" name="Range1_2_1" securityDescriptor="O:WDG:WDD:(A;;CC;;;S-1-5-21-3219648850-738124763-203175933-17295)(A;;CC;;;S-1-5-21-3219648850-738124763-203175933-17298)(A;;CC;;;S-1-5-21-3219648850-738124763-203175933-17299)"/>
    <protectedRange password="CA89" sqref="A1:G3" name="Range1" securityDescriptor="O:WDG:WDD:(A;;CC;;;S-1-5-21-3219648850-738124763-203175933-17295)(A;;CC;;;S-1-5-21-3219648850-738124763-203175933-17298)(A;;CC;;;S-1-5-21-3219648850-738124763-203175933-17299)"/>
  </protectedRanges>
  <conditionalFormatting sqref="H1:XFD3 A4:XFD1048576">
    <cfRule type="expression" priority="6" stopIfTrue="1">
      <formula>CELL("protect",A1)=1</formula>
    </cfRule>
    <cfRule type="expression" dxfId="3" priority="7">
      <formula>CELL("protect",A1)=1</formula>
    </cfRule>
  </conditionalFormatting>
  <conditionalFormatting sqref="A1:G3">
    <cfRule type="expression" priority="1" stopIfTrue="1">
      <formula>CELL("protect",A1)=1</formula>
    </cfRule>
    <cfRule type="expression" dxfId="2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showGridLines="0" workbookViewId="0">
      <pane ySplit="3" topLeftCell="A4" activePane="bottomLeft" state="frozen"/>
      <selection pane="bottomLeft"/>
    </sheetView>
  </sheetViews>
  <sheetFormatPr defaultColWidth="8.75" defaultRowHeight="14.25" x14ac:dyDescent="0.25"/>
  <cols>
    <col min="1" max="1" width="41.5" style="5" customWidth="1"/>
    <col min="2" max="4" width="13.625" style="5" customWidth="1"/>
    <col min="5" max="5" width="1.625" style="5" customWidth="1"/>
    <col min="6" max="6" width="13.625" style="5" customWidth="1"/>
    <col min="7" max="7" width="1.625" style="5" customWidth="1"/>
    <col min="8" max="16384" width="8.75" style="5"/>
  </cols>
  <sheetData>
    <row r="1" spans="1:7" ht="12" customHeight="1" x14ac:dyDescent="0.25">
      <c r="A1" s="25"/>
      <c r="B1" s="26"/>
      <c r="C1" s="27"/>
      <c r="D1" s="27"/>
      <c r="E1" s="27"/>
      <c r="F1" s="27" t="s">
        <v>81</v>
      </c>
      <c r="G1" s="28"/>
    </row>
    <row r="2" spans="1:7" ht="12" customHeight="1" x14ac:dyDescent="0.25">
      <c r="A2" s="29"/>
      <c r="B2" s="30"/>
      <c r="C2" s="31" t="s">
        <v>60</v>
      </c>
      <c r="D2" s="31" t="s">
        <v>64</v>
      </c>
      <c r="E2" s="31"/>
      <c r="F2" s="31" t="s">
        <v>3</v>
      </c>
      <c r="G2" s="32"/>
    </row>
    <row r="3" spans="1:7" ht="12" customHeight="1" thickBot="1" x14ac:dyDescent="0.3">
      <c r="A3" s="33"/>
      <c r="B3" s="34"/>
      <c r="C3" s="35" t="s">
        <v>0</v>
      </c>
      <c r="D3" s="35" t="s">
        <v>1</v>
      </c>
      <c r="E3" s="35"/>
      <c r="F3" s="35" t="s">
        <v>4</v>
      </c>
      <c r="G3" s="36"/>
    </row>
    <row r="4" spans="1:7" ht="12" customHeight="1" x14ac:dyDescent="0.25"/>
    <row r="5" spans="1:7" ht="12" customHeight="1" x14ac:dyDescent="0.25">
      <c r="A5" s="6" t="s">
        <v>23</v>
      </c>
      <c r="B5" s="6"/>
      <c r="C5" s="17"/>
      <c r="D5" s="17"/>
      <c r="E5" s="18"/>
      <c r="F5" s="17"/>
    </row>
    <row r="6" spans="1:7" ht="12" customHeight="1" x14ac:dyDescent="0.25">
      <c r="A6" s="45" t="s">
        <v>27</v>
      </c>
      <c r="B6" s="45"/>
      <c r="C6" s="61">
        <v>2607726</v>
      </c>
      <c r="D6" s="61">
        <v>4367384</v>
      </c>
      <c r="E6" s="58"/>
      <c r="F6" s="61">
        <v>4381014</v>
      </c>
    </row>
    <row r="7" spans="1:7" ht="12" customHeight="1" x14ac:dyDescent="0.25">
      <c r="A7" s="78" t="s">
        <v>7</v>
      </c>
      <c r="B7" s="79"/>
      <c r="C7" s="65">
        <v>379580</v>
      </c>
      <c r="D7" s="65">
        <v>783338</v>
      </c>
      <c r="E7" s="65"/>
      <c r="F7" s="65">
        <v>789695</v>
      </c>
    </row>
    <row r="8" spans="1:7" ht="12" customHeight="1" x14ac:dyDescent="0.25">
      <c r="A8" s="47" t="s">
        <v>8</v>
      </c>
      <c r="B8" s="59"/>
      <c r="C8" s="43">
        <f>980848+1016876+230422</f>
        <v>2228146</v>
      </c>
      <c r="D8" s="43">
        <f>1875094+1080000+628952</f>
        <v>3584046</v>
      </c>
      <c r="E8" s="43"/>
      <c r="F8" s="43">
        <v>3591319</v>
      </c>
    </row>
    <row r="9" spans="1:7" ht="12" customHeight="1" thickBot="1" x14ac:dyDescent="0.3">
      <c r="C9" s="7"/>
      <c r="D9" s="7"/>
      <c r="E9" s="7"/>
      <c r="F9" s="7"/>
    </row>
    <row r="10" spans="1:7" ht="12" customHeight="1" thickBot="1" x14ac:dyDescent="0.3">
      <c r="A10" s="51" t="s">
        <v>5</v>
      </c>
      <c r="B10" s="52"/>
      <c r="C10" s="77">
        <v>7.43</v>
      </c>
      <c r="D10" s="77">
        <v>9.4</v>
      </c>
      <c r="E10" s="77"/>
      <c r="F10" s="77">
        <v>9.4</v>
      </c>
      <c r="G10" s="55"/>
    </row>
  </sheetData>
  <sheetProtection password="CA89" sheet="1" formatCells="0" insertRows="0" selectLockedCells="1"/>
  <protectedRanges>
    <protectedRange password="CA89" sqref="A4:G4 E5:G5 A5:B10 E6 G6 E7:G9 E10 G10 A11:G13" name="Range1" securityDescriptor="O:WDG:WDD:(A;;CC;;;S-1-5-21-3219648850-738124763-203175933-17295)(A;;CC;;;S-1-5-21-3219648850-738124763-203175933-17298)(A;;CC;;;S-1-5-21-3219648850-738124763-203175933-17299)"/>
    <protectedRange password="CA89" sqref="C5:D5 F10 C7:D10" name="Range1_1" securityDescriptor="O:WDG:WDD:(A;;CC;;;S-1-5-21-3219648850-738124763-203175933-17295)(A;;CC;;;S-1-5-21-3219648850-738124763-203175933-17298)(A;;CC;;;S-1-5-21-3219648850-738124763-203175933-17299)"/>
    <protectedRange password="CA89" sqref="C6:D6" name="Range1_2" securityDescriptor="O:WDG:WDD:(A;;CC;;;S-1-5-21-3219648850-738124763-203175933-17295)(A;;CC;;;S-1-5-21-3219648850-738124763-203175933-17298)(A;;CC;;;S-1-5-21-3219648850-738124763-203175933-17299)"/>
    <protectedRange password="CA89" sqref="F6" name="Range1_2_1" securityDescriptor="O:WDG:WDD:(A;;CC;;;S-1-5-21-3219648850-738124763-203175933-17295)(A;;CC;;;S-1-5-21-3219648850-738124763-203175933-17298)(A;;CC;;;S-1-5-21-3219648850-738124763-203175933-17299)"/>
    <protectedRange password="CA89" sqref="A1:G3" name="Range1_6" securityDescriptor="O:WDG:WDD:(A;;CC;;;S-1-5-21-3219648850-738124763-203175933-17295)(A;;CC;;;S-1-5-21-3219648850-738124763-203175933-17298)(A;;CC;;;S-1-5-21-3219648850-738124763-203175933-17299)"/>
  </protectedRanges>
  <conditionalFormatting sqref="H1:XFD3 A4:XFD1048576">
    <cfRule type="expression" priority="6" stopIfTrue="1">
      <formula>CELL("protect",A1)=1</formula>
    </cfRule>
    <cfRule type="expression" dxfId="1" priority="7">
      <formula>CELL("protect",A1)=1</formula>
    </cfRule>
  </conditionalFormatting>
  <conditionalFormatting sqref="A1:G3">
    <cfRule type="expression" priority="1" stopIfTrue="1">
      <formula>CELL("protect",A1)=1</formula>
    </cfRule>
    <cfRule type="expression" dxfId="0" priority="2">
      <formula>CELL("protect",A1)=1</formula>
    </cfRule>
  </conditionalFormatting>
  <pageMargins left="0.7" right="0.7" top="0.75" bottom="0.75" header="0.3" footer="0.3"/>
  <pageSetup scale="8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Main</vt:lpstr>
      <vt:lpstr>Financial &amp; Admin Srvcs</vt:lpstr>
      <vt:lpstr>Public School Aid</vt:lpstr>
      <vt:lpstr>Learning Services</vt:lpstr>
      <vt:lpstr>Board Operated Schools</vt:lpstr>
      <vt:lpstr>MO Charter Public Commission</vt:lpstr>
      <vt:lpstr>Deaf &amp; Hard of Hearing</vt:lpstr>
      <vt:lpstr>Assistive Tech Council</vt:lpstr>
      <vt:lpstr>ColumnTitle</vt:lpstr>
      <vt:lpstr>ColumnTitle2</vt:lpstr>
      <vt:lpstr>ColumnTitle3</vt:lpstr>
      <vt:lpstr>ColumnTitle4</vt:lpstr>
      <vt:lpstr>ColumnTitle5</vt:lpstr>
      <vt:lpstr>ColumnTitle6</vt:lpstr>
      <vt:lpstr>ColumnTitle7</vt:lpstr>
      <vt:lpstr>ColumnTitle8</vt:lpstr>
      <vt:lpstr>Main!Print_Area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</dc:creator>
  <cp:lastModifiedBy>McQuary, Pamela</cp:lastModifiedBy>
  <cp:lastPrinted>2019-12-23T19:42:52Z</cp:lastPrinted>
  <dcterms:created xsi:type="dcterms:W3CDTF">2009-08-21T15:10:29Z</dcterms:created>
  <dcterms:modified xsi:type="dcterms:W3CDTF">2020-02-17T21:10:14Z</dcterms:modified>
</cp:coreProperties>
</file>