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 Plans\FY 2022\FY 2022 Executive Budget\"/>
    </mc:Choice>
  </mc:AlternateContent>
  <bookViews>
    <workbookView xWindow="240" yWindow="75" windowWidth="14805" windowHeight="8520"/>
  </bookViews>
  <sheets>
    <sheet name="Main" sheetId="1" r:id="rId1"/>
    <sheet name="Financial &amp; Admin Srvcs" sheetId="4" r:id="rId2"/>
    <sheet name="Public School Aid" sheetId="5" r:id="rId3"/>
    <sheet name="Learning Services" sheetId="6" r:id="rId4"/>
    <sheet name="Board Operated Schools" sheetId="7" r:id="rId5"/>
    <sheet name="MO Charter Public Commission" sheetId="11" r:id="rId6"/>
    <sheet name="Deaf &amp; Hard of Hearing" sheetId="8" r:id="rId7"/>
    <sheet name="Assistive Tech Council" sheetId="9" r:id="rId8"/>
  </sheets>
  <definedNames>
    <definedName name="ColumnTitle">Main!$A$1</definedName>
    <definedName name="ColumnTitle2">'Financial &amp; Admin Srvcs'!$A$1</definedName>
    <definedName name="ColumnTitle3">'Public School Aid'!$A$1</definedName>
    <definedName name="ColumnTitle4">'Learning Services'!$A$4</definedName>
    <definedName name="ColumnTitle5">'Board Operated Schools'!$A$4</definedName>
    <definedName name="ColumnTitle6">'MO Charter Public Commission'!$A$1</definedName>
    <definedName name="ColumnTitle7">'Deaf &amp; Hard of Hearing'!$A$1</definedName>
    <definedName name="ColumnTitle8">'Assistive Tech Council'!$A$1</definedName>
    <definedName name="_xlnm.Print_Area" localSheetId="0">Main!$A$1:$G$38</definedName>
  </definedNames>
  <calcPr calcId="162913"/>
</workbook>
</file>

<file path=xl/calcChain.xml><?xml version="1.0" encoding="utf-8"?>
<calcChain xmlns="http://schemas.openxmlformats.org/spreadsheetml/2006/main">
  <c r="D6" i="8" l="1"/>
  <c r="F6" i="8"/>
  <c r="F5" i="5" l="1"/>
  <c r="F44" i="6" l="1"/>
  <c r="F14" i="4"/>
  <c r="D14" i="4"/>
  <c r="C14" i="4"/>
  <c r="F33" i="1" l="1"/>
  <c r="F28" i="1"/>
  <c r="F25" i="1"/>
  <c r="F16" i="1"/>
  <c r="F5" i="4"/>
  <c r="F17" i="1" l="1"/>
  <c r="F47" i="6" l="1"/>
  <c r="E42" i="6" l="1"/>
  <c r="F42" i="6"/>
  <c r="F7" i="1" l="1"/>
  <c r="F6" i="1"/>
  <c r="E16" i="1" l="1"/>
  <c r="C16" i="1"/>
  <c r="C17" i="1"/>
  <c r="B16" i="1"/>
  <c r="B17" i="1"/>
  <c r="E28" i="1" l="1"/>
  <c r="C28" i="1"/>
  <c r="B28" i="1"/>
  <c r="E33" i="1"/>
  <c r="C33" i="1"/>
  <c r="B33" i="1"/>
  <c r="D47" i="6" l="1"/>
  <c r="C47" i="6"/>
  <c r="C25" i="1"/>
  <c r="B25" i="1"/>
  <c r="E25" i="1"/>
  <c r="E7" i="1"/>
  <c r="E6" i="1"/>
  <c r="C7" i="1"/>
  <c r="B7" i="1"/>
  <c r="D5" i="5"/>
  <c r="D8" i="9"/>
  <c r="C8" i="9"/>
  <c r="D8" i="8"/>
  <c r="D9" i="11"/>
  <c r="D12" i="7"/>
  <c r="C12" i="7"/>
  <c r="D45" i="6"/>
  <c r="D44" i="6"/>
  <c r="C45" i="6"/>
  <c r="C44" i="6"/>
  <c r="C42" i="6"/>
  <c r="D42" i="6"/>
  <c r="D20" i="5"/>
  <c r="D23" i="5"/>
  <c r="C23" i="5"/>
  <c r="C5" i="5"/>
  <c r="F14" i="11" l="1"/>
  <c r="F12" i="4" l="1"/>
  <c r="D12" i="4"/>
  <c r="C12" i="4"/>
  <c r="C20" i="4" l="1"/>
  <c r="D20" i="4"/>
  <c r="F20" i="5"/>
  <c r="C20" i="5" l="1"/>
  <c r="F14" i="1" l="1"/>
  <c r="E14" i="1"/>
  <c r="C14" i="1"/>
  <c r="B14" i="1"/>
  <c r="F50" i="6" l="1"/>
  <c r="F35" i="1"/>
  <c r="E35" i="1"/>
  <c r="C35" i="1"/>
  <c r="B35" i="1"/>
  <c r="F9" i="7"/>
  <c r="D9" i="7"/>
  <c r="C9" i="7"/>
  <c r="D50" i="6" l="1"/>
  <c r="C50" i="6"/>
  <c r="C28" i="5"/>
  <c r="D28" i="5"/>
  <c r="F28" i="5"/>
  <c r="C13" i="8"/>
  <c r="F13" i="9"/>
  <c r="D13" i="9"/>
  <c r="F13" i="8"/>
  <c r="D13" i="8"/>
  <c r="C14" i="11"/>
  <c r="D14" i="11"/>
  <c r="F17" i="7"/>
  <c r="D17" i="7"/>
  <c r="C17" i="7"/>
  <c r="F20" i="4"/>
  <c r="C13" i="9"/>
</calcChain>
</file>

<file path=xl/sharedStrings.xml><?xml version="1.0" encoding="utf-8"?>
<sst xmlns="http://schemas.openxmlformats.org/spreadsheetml/2006/main" count="199" uniqueCount="102">
  <si>
    <t>EXPENDITURE</t>
  </si>
  <si>
    <t>APPROPRIATION</t>
  </si>
  <si>
    <t>REQUEST</t>
  </si>
  <si>
    <t>GOVERNOR</t>
  </si>
  <si>
    <t>RECOMMENDS</t>
  </si>
  <si>
    <t>Total Full-time Equivalent Employees</t>
  </si>
  <si>
    <t>General Revenue Fund</t>
  </si>
  <si>
    <t>Federal Funds</t>
  </si>
  <si>
    <t>Other Funds</t>
  </si>
  <si>
    <t>Verify Top/Bottom Funds Balance:</t>
  </si>
  <si>
    <t>DEPARTMENTAL TOTAL</t>
  </si>
  <si>
    <t>School District Bond Fund</t>
  </si>
  <si>
    <t>Bingo Proceeds for Education Fund</t>
  </si>
  <si>
    <t>Lottery Proceeds Fund</t>
  </si>
  <si>
    <t>Excellence in Education Fund</t>
  </si>
  <si>
    <t>Missouri Commission for the Deaf</t>
  </si>
  <si>
    <t>Early Childhood Development,</t>
  </si>
  <si>
    <t>Education and Care Fund</t>
  </si>
  <si>
    <t>Other Public School Aid</t>
  </si>
  <si>
    <t>Missouri Assistive Technology Council Funds</t>
  </si>
  <si>
    <t>Financial and Administrative Services</t>
  </si>
  <si>
    <t>Division of Learning Services</t>
  </si>
  <si>
    <t>Board Operated Schools</t>
  </si>
  <si>
    <t>Missouri Commission for the Deaf and Hard of Hearing</t>
  </si>
  <si>
    <t>Missouri Assistive Technology Council</t>
  </si>
  <si>
    <t>Foundation Formula</t>
  </si>
  <si>
    <t>School District Bond Program</t>
  </si>
  <si>
    <t>Federal Grants and Donations</t>
  </si>
  <si>
    <t>TOTAL</t>
  </si>
  <si>
    <t>Foundation - Formula</t>
  </si>
  <si>
    <t>Foundation - Small Schools Program</t>
  </si>
  <si>
    <t>Foundation - Transportation</t>
  </si>
  <si>
    <t>Foundation - Early Childhood Special Education</t>
  </si>
  <si>
    <t>Foundation - Career Education</t>
  </si>
  <si>
    <t>School District Trust Fund</t>
  </si>
  <si>
    <t>Urban Teaching Program</t>
  </si>
  <si>
    <t>Excellence In Education Fund</t>
  </si>
  <si>
    <t>Title I Academic Standards and Assessments</t>
  </si>
  <si>
    <t>Scholars and Fine Arts Academies</t>
  </si>
  <si>
    <t>Early Childhood Program</t>
  </si>
  <si>
    <t>Performance Based Assessment</t>
  </si>
  <si>
    <t>Title II Improve Teacher Quality</t>
  </si>
  <si>
    <t>Title III, Part A - Language Acquisition</t>
  </si>
  <si>
    <t>Federal Refugees</t>
  </si>
  <si>
    <t>Character Education Initiatives</t>
  </si>
  <si>
    <t>Vocational Rehabilitation</t>
  </si>
  <si>
    <t>Career Education</t>
  </si>
  <si>
    <t>Special Education</t>
  </si>
  <si>
    <t>Handicapped Children's Trust Fund</t>
  </si>
  <si>
    <t>Missouri Public Charter School Commission</t>
  </si>
  <si>
    <t>*</t>
  </si>
  <si>
    <t>School Nutrition Services</t>
  </si>
  <si>
    <t>Stephen M Ferman Memorial for Gifted Education</t>
  </si>
  <si>
    <t>Teacher of the Year</t>
  </si>
  <si>
    <t>Foundation - Early Childhood Development/PAT</t>
  </si>
  <si>
    <t>Homeless and Comprehensive School Health</t>
  </si>
  <si>
    <t>Title V, Part B - Rural and Low-Income Schools</t>
  </si>
  <si>
    <t>Dyslexia Programs</t>
  </si>
  <si>
    <t>Title IV, Part A - Student Support/Academic Enrichment</t>
  </si>
  <si>
    <t>Missouri Charter Public School Commission</t>
  </si>
  <si>
    <t>State Legal Expense Fund Transfer</t>
  </si>
  <si>
    <t>FY 2020</t>
  </si>
  <si>
    <r>
      <t xml:space="preserve">Outstanding Schools Trust Fund </t>
    </r>
    <r>
      <rPr>
        <vertAlign val="superscript"/>
        <sz val="10.5"/>
        <color theme="1"/>
        <rFont val="Calibri"/>
        <family val="2"/>
        <scheme val="minor"/>
      </rPr>
      <t>1</t>
    </r>
  </si>
  <si>
    <r>
      <t xml:space="preserve">School District Trust Fund </t>
    </r>
    <r>
      <rPr>
        <vertAlign val="superscript"/>
        <sz val="10.5"/>
        <color theme="1"/>
        <rFont val="Calibri"/>
        <family val="2"/>
        <scheme val="minor"/>
      </rPr>
      <t>3</t>
    </r>
  </si>
  <si>
    <r>
      <t xml:space="preserve">Classroom Trust Fund </t>
    </r>
    <r>
      <rPr>
        <vertAlign val="superscript"/>
        <sz val="10.5"/>
        <color theme="1"/>
        <rFont val="Calibri"/>
        <family val="2"/>
        <scheme val="minor"/>
      </rPr>
      <t>4</t>
    </r>
  </si>
  <si>
    <t>School Board Training</t>
  </si>
  <si>
    <t>Missouri Healthy Schools</t>
  </si>
  <si>
    <t>High School Equivalency</t>
  </si>
  <si>
    <t>STEM Awareness Program</t>
  </si>
  <si>
    <t>Computer Science Education Program</t>
  </si>
  <si>
    <t>Early Grade Reading Assessments</t>
  </si>
  <si>
    <t>School for Deaf Trust Fund</t>
  </si>
  <si>
    <t>School for Blind Trust Fund</t>
  </si>
  <si>
    <t>Missouri Charter Public School Commission Funds</t>
  </si>
  <si>
    <t>and Hard of Hearing Funds</t>
  </si>
  <si>
    <t>Part C Early Intervention System Fund</t>
  </si>
  <si>
    <t>FY 2021</t>
  </si>
  <si>
    <t>These should be zero</t>
  </si>
  <si>
    <t>Community In Schools</t>
  </si>
  <si>
    <r>
      <t xml:space="preserve">State School Moneys Fund </t>
    </r>
    <r>
      <rPr>
        <vertAlign val="superscript"/>
        <sz val="10.5"/>
        <color theme="1"/>
        <rFont val="Calibri"/>
        <family val="2"/>
        <scheme val="minor"/>
      </rPr>
      <t>2</t>
    </r>
  </si>
  <si>
    <t>FY 2022</t>
  </si>
  <si>
    <t>K-12 CARES Act</t>
  </si>
  <si>
    <t>School Safety Program</t>
  </si>
  <si>
    <t>Virtual Education</t>
  </si>
  <si>
    <t>Critical Needs</t>
  </si>
  <si>
    <t>Continuous Improvement</t>
  </si>
  <si>
    <t>Comprehensive Literacy Development</t>
  </si>
  <si>
    <t>Early Literacy Program</t>
  </si>
  <si>
    <t>Federal Stimulus Funds</t>
  </si>
  <si>
    <t>School Innovation Waivers</t>
  </si>
  <si>
    <t>Early Childhood Special Education Title I</t>
  </si>
  <si>
    <t>Early Childhood Special Education</t>
  </si>
  <si>
    <t>Parents As Teachers</t>
  </si>
  <si>
    <t>First Steps</t>
  </si>
  <si>
    <t>School Age Afterschool Program</t>
  </si>
  <si>
    <t>Community and Public Health Program</t>
  </si>
  <si>
    <t>Child Care Health Consultation Program</t>
  </si>
  <si>
    <t>Child Care Improvement Program</t>
  </si>
  <si>
    <t>Child Care</t>
  </si>
  <si>
    <t>Home Visiting</t>
  </si>
  <si>
    <t>Early Childhood Special Education Grant</t>
  </si>
  <si>
    <t>Office of Childhood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</si>
</sst>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"/>
    <numFmt numFmtId="165" formatCode="_(* #,##0_);_(* \(#,##0\)"/>
    <numFmt numFmtId="166" formatCode="_(* #,##0.00_);_(* \(#,##0.00\)"/>
    <numFmt numFmtId="167" formatCode="#,##0.00_)"/>
    <numFmt numFmtId="168" formatCode="0.0%"/>
  </numFmts>
  <fonts count="13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 val="singleAccounting"/>
      <sz val="10.5"/>
      <color theme="1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0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165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wrapText="1"/>
    </xf>
    <xf numFmtId="168" fontId="4" fillId="0" borderId="0" xfId="1" applyNumberFormat="1" applyFont="1" applyProtection="1">
      <protection locked="0"/>
    </xf>
    <xf numFmtId="41" fontId="10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2" fontId="4" fillId="0" borderId="0" xfId="0" applyNumberFormat="1" applyFont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protection locked="0"/>
    </xf>
    <xf numFmtId="165" fontId="4" fillId="3" borderId="0" xfId="0" applyNumberFormat="1" applyFont="1" applyFill="1" applyAlignment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 indent="2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Protection="1">
      <protection locked="0"/>
    </xf>
    <xf numFmtId="167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Protection="1">
      <protection locked="0"/>
    </xf>
    <xf numFmtId="0" fontId="4" fillId="4" borderId="4" xfId="0" applyFont="1" applyFill="1" applyBorder="1" applyAlignment="1" applyProtection="1">
      <alignment horizontal="left" vertical="center" indent="2"/>
      <protection locked="0"/>
    </xf>
    <xf numFmtId="0" fontId="4" fillId="3" borderId="0" xfId="0" applyNumberFormat="1" applyFont="1" applyFill="1" applyAlignment="1" applyProtection="1">
      <protection locked="0"/>
    </xf>
    <xf numFmtId="0" fontId="4" fillId="3" borderId="0" xfId="0" applyFont="1" applyFill="1" applyAlignment="1" applyProtection="1">
      <alignment horizontal="left" indent="2"/>
      <protection locked="0"/>
    </xf>
    <xf numFmtId="0" fontId="4" fillId="3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165" fontId="4" fillId="0" borderId="0" xfId="0" applyNumberFormat="1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166" fontId="5" fillId="4" borderId="2" xfId="0" applyNumberFormat="1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  <protection locked="0"/>
    </xf>
    <xf numFmtId="16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6" fontId="4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166" fontId="4" fillId="0" borderId="7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166" fontId="5" fillId="4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horizontal="left" indent="2"/>
      <protection locked="0"/>
    </xf>
    <xf numFmtId="166" fontId="4" fillId="4" borderId="11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1"/>
      <protection locked="0"/>
    </xf>
    <xf numFmtId="165" fontId="4" fillId="0" borderId="0" xfId="0" applyNumberFormat="1" applyFont="1" applyAlignment="1" applyProtection="1">
      <alignment vertical="center" wrapText="1"/>
      <protection locked="0"/>
    </xf>
    <xf numFmtId="168" fontId="4" fillId="0" borderId="0" xfId="0" applyNumberFormat="1" applyFont="1" applyProtection="1"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4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protection locked="0"/>
    </xf>
    <xf numFmtId="166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65" fontId="4" fillId="3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165" fontId="4" fillId="0" borderId="12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</xf>
    <xf numFmtId="0" fontId="12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horizontal="left" vertical="center" indent="3"/>
      <protection locked="0"/>
    </xf>
    <xf numFmtId="0" fontId="4" fillId="5" borderId="0" xfId="0" applyFont="1" applyFill="1" applyAlignment="1" applyProtection="1">
      <alignment horizontal="left" vertical="center" indent="2"/>
      <protection locked="0"/>
    </xf>
    <xf numFmtId="0" fontId="4" fillId="5" borderId="0" xfId="0" applyFont="1" applyFill="1" applyAlignment="1" applyProtection="1">
      <alignment horizontal="left" indent="2"/>
      <protection locked="0"/>
    </xf>
    <xf numFmtId="0" fontId="4" fillId="3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</xf>
    <xf numFmtId="41" fontId="12" fillId="0" borderId="0" xfId="0" applyNumberFormat="1" applyFont="1" applyFill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5" fontId="4" fillId="3" borderId="12" xfId="0" applyNumberFormat="1" applyFont="1" applyFill="1" applyBorder="1" applyAlignment="1" applyProtection="1">
      <alignment vertical="center"/>
      <protection locked="0"/>
    </xf>
    <xf numFmtId="165" fontId="6" fillId="3" borderId="0" xfId="0" applyNumberFormat="1" applyFont="1" applyFill="1" applyAlignment="1" applyProtection="1">
      <alignment vertical="center"/>
      <protection locked="0"/>
    </xf>
    <xf numFmtId="4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3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</xf>
    <xf numFmtId="165" fontId="4" fillId="5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58"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3" width="13.625" style="5" customWidth="1"/>
    <col min="4" max="4" width="1.625" style="5" customWidth="1"/>
    <col min="5" max="6" width="13.625" style="5" customWidth="1"/>
    <col min="7" max="7" width="1.625" style="5" customWidth="1"/>
    <col min="8" max="16384" width="8.75" style="5"/>
  </cols>
  <sheetData>
    <row r="1" spans="1:8" ht="12" customHeight="1" x14ac:dyDescent="0.25">
      <c r="A1" s="22"/>
      <c r="B1" s="24"/>
      <c r="C1" s="24"/>
      <c r="D1" s="24"/>
      <c r="E1" s="24"/>
      <c r="F1" s="24" t="s">
        <v>80</v>
      </c>
      <c r="G1" s="34"/>
    </row>
    <row r="2" spans="1:8" ht="12" customHeight="1" x14ac:dyDescent="0.25">
      <c r="A2" s="26"/>
      <c r="B2" s="28" t="s">
        <v>61</v>
      </c>
      <c r="C2" s="28" t="s">
        <v>76</v>
      </c>
      <c r="D2" s="28"/>
      <c r="E2" s="28" t="s">
        <v>80</v>
      </c>
      <c r="F2" s="28" t="s">
        <v>3</v>
      </c>
      <c r="G2" s="35"/>
    </row>
    <row r="3" spans="1:8" ht="12" customHeight="1" thickBot="1" x14ac:dyDescent="0.3">
      <c r="A3" s="30"/>
      <c r="B3" s="32" t="s">
        <v>0</v>
      </c>
      <c r="C3" s="32" t="s">
        <v>1</v>
      </c>
      <c r="D3" s="32"/>
      <c r="E3" s="32" t="s">
        <v>2</v>
      </c>
      <c r="F3" s="32" t="s">
        <v>4</v>
      </c>
      <c r="G3" s="36"/>
    </row>
    <row r="4" spans="1:8" ht="12" customHeight="1" x14ac:dyDescent="0.25"/>
    <row r="5" spans="1:8" ht="12" customHeight="1" x14ac:dyDescent="0.25">
      <c r="A5" s="37" t="s">
        <v>20</v>
      </c>
      <c r="B5" s="102">
        <v>328901719</v>
      </c>
      <c r="C5" s="102">
        <v>2580488316</v>
      </c>
      <c r="D5" s="37"/>
      <c r="E5" s="102">
        <v>467045316</v>
      </c>
      <c r="F5" s="102">
        <v>468274618</v>
      </c>
      <c r="G5" s="6"/>
      <c r="H5" s="15"/>
    </row>
    <row r="6" spans="1:8" ht="12" customHeight="1" x14ac:dyDescent="0.25">
      <c r="A6" s="6" t="s">
        <v>25</v>
      </c>
      <c r="B6" s="103">
        <v>3344958343</v>
      </c>
      <c r="C6" s="103">
        <v>3553211885</v>
      </c>
      <c r="D6" s="104"/>
      <c r="E6" s="103">
        <f>2588229481+973508313</f>
        <v>3561737794</v>
      </c>
      <c r="F6" s="103">
        <f>2596175622+965562172</f>
        <v>3561737794</v>
      </c>
      <c r="G6" s="6"/>
      <c r="H6" s="15"/>
    </row>
    <row r="7" spans="1:8" ht="12" customHeight="1" x14ac:dyDescent="0.25">
      <c r="A7" s="37" t="s">
        <v>18</v>
      </c>
      <c r="B7" s="84">
        <f>4650736746-3344958343</f>
        <v>1305778403</v>
      </c>
      <c r="C7" s="84">
        <f>4904219667-3553211885</f>
        <v>1351007782</v>
      </c>
      <c r="D7" s="37"/>
      <c r="E7" s="84">
        <f>4923232415-3561737794</f>
        <v>1361494621</v>
      </c>
      <c r="F7" s="84">
        <f>4684944313-3561737794</f>
        <v>1123206519</v>
      </c>
      <c r="G7" s="6"/>
      <c r="H7" s="15"/>
    </row>
    <row r="8" spans="1:8" ht="12" customHeight="1" x14ac:dyDescent="0.25">
      <c r="A8" s="10" t="s">
        <v>21</v>
      </c>
      <c r="B8" s="103">
        <v>878489612</v>
      </c>
      <c r="C8" s="103">
        <v>979332335</v>
      </c>
      <c r="D8" s="6"/>
      <c r="E8" s="103">
        <v>991453470</v>
      </c>
      <c r="F8" s="103">
        <v>1499209549</v>
      </c>
      <c r="G8" s="6"/>
      <c r="H8" s="15"/>
    </row>
    <row r="9" spans="1:8" ht="12" customHeight="1" x14ac:dyDescent="0.25">
      <c r="A9" s="40" t="s">
        <v>22</v>
      </c>
      <c r="B9" s="84">
        <v>47161200</v>
      </c>
      <c r="C9" s="84">
        <v>57031026</v>
      </c>
      <c r="D9" s="37"/>
      <c r="E9" s="84">
        <v>57031026</v>
      </c>
      <c r="F9" s="84">
        <v>57313585</v>
      </c>
      <c r="G9" s="6"/>
      <c r="H9" s="15"/>
    </row>
    <row r="10" spans="1:8" ht="12" customHeight="1" x14ac:dyDescent="0.25">
      <c r="A10" s="10" t="s">
        <v>49</v>
      </c>
      <c r="B10" s="103">
        <v>490256</v>
      </c>
      <c r="C10" s="103">
        <v>3583085</v>
      </c>
      <c r="D10" s="6"/>
      <c r="E10" s="103">
        <v>3583085</v>
      </c>
      <c r="F10" s="103">
        <v>3585859</v>
      </c>
      <c r="G10" s="6"/>
      <c r="H10" s="15"/>
    </row>
    <row r="11" spans="1:8" ht="12" customHeight="1" x14ac:dyDescent="0.25">
      <c r="A11" s="37" t="s">
        <v>23</v>
      </c>
      <c r="B11" s="84">
        <v>766611</v>
      </c>
      <c r="C11" s="84">
        <v>1307867</v>
      </c>
      <c r="D11" s="37"/>
      <c r="E11" s="84">
        <v>1307867</v>
      </c>
      <c r="F11" s="84">
        <v>1281646</v>
      </c>
      <c r="G11" s="6"/>
      <c r="H11" s="15"/>
    </row>
    <row r="12" spans="1:8" ht="12" customHeight="1" x14ac:dyDescent="0.25">
      <c r="A12" s="6" t="s">
        <v>24</v>
      </c>
      <c r="B12" s="103">
        <v>2569530</v>
      </c>
      <c r="C12" s="103">
        <v>4375912</v>
      </c>
      <c r="D12" s="6"/>
      <c r="E12" s="103">
        <v>4375912</v>
      </c>
      <c r="F12" s="103">
        <v>4381015</v>
      </c>
      <c r="G12" s="6"/>
      <c r="H12" s="15"/>
    </row>
    <row r="13" spans="1:8" s="86" customFormat="1" ht="13.5" customHeight="1" x14ac:dyDescent="0.2">
      <c r="A13" s="85" t="s">
        <v>60</v>
      </c>
      <c r="B13" s="105">
        <v>0</v>
      </c>
      <c r="C13" s="106">
        <v>1</v>
      </c>
      <c r="D13" s="107"/>
      <c r="E13" s="106">
        <v>1</v>
      </c>
      <c r="F13" s="106">
        <v>1</v>
      </c>
    </row>
    <row r="14" spans="1:8" ht="12" customHeight="1" x14ac:dyDescent="0.25">
      <c r="A14" s="79" t="s">
        <v>10</v>
      </c>
      <c r="B14" s="80">
        <f>SUM(B5:B13)</f>
        <v>5909115674</v>
      </c>
      <c r="C14" s="80">
        <f>SUM(C5:C13)</f>
        <v>8530338209</v>
      </c>
      <c r="D14" s="97" t="s">
        <v>50</v>
      </c>
      <c r="E14" s="80">
        <f>SUM(E5:E13)</f>
        <v>6448029092</v>
      </c>
      <c r="F14" s="80">
        <f>SUM(F5:F13)</f>
        <v>6718990586</v>
      </c>
      <c r="G14" s="6"/>
      <c r="H14" s="77"/>
    </row>
    <row r="15" spans="1:8" ht="12" customHeight="1" x14ac:dyDescent="0.25">
      <c r="A15" s="42" t="s">
        <v>6</v>
      </c>
      <c r="B15" s="84">
        <v>3403569227</v>
      </c>
      <c r="C15" s="84">
        <v>3537727534</v>
      </c>
      <c r="D15" s="37"/>
      <c r="E15" s="84">
        <v>3557221247</v>
      </c>
      <c r="F15" s="84">
        <v>3599725032</v>
      </c>
      <c r="G15" s="6"/>
    </row>
    <row r="16" spans="1:8" ht="12" customHeight="1" x14ac:dyDescent="0.25">
      <c r="A16" s="71" t="s">
        <v>7</v>
      </c>
      <c r="B16" s="78">
        <f>89517496+825699278+0+450805</f>
        <v>915667579</v>
      </c>
      <c r="C16" s="78">
        <f>112696297+1022490794+500000+787528</f>
        <v>1136474619</v>
      </c>
      <c r="D16" s="56"/>
      <c r="E16" s="78">
        <f>117924335+1026841951+500000+787528+0</f>
        <v>1146053814</v>
      </c>
      <c r="F16" s="78">
        <f>114639970+1030975453+183610253+500000+789696+1290000</f>
        <v>1331805372</v>
      </c>
      <c r="G16" s="6"/>
    </row>
    <row r="17" spans="1:7" ht="12" customHeight="1" x14ac:dyDescent="0.25">
      <c r="A17" s="42" t="s">
        <v>88</v>
      </c>
      <c r="B17" s="84">
        <f>41894272+67469751</f>
        <v>109364023</v>
      </c>
      <c r="C17" s="84">
        <f>2000000000+238443000</f>
        <v>2238443000</v>
      </c>
      <c r="D17" s="37"/>
      <c r="E17" s="84">
        <v>125000000</v>
      </c>
      <c r="F17" s="84">
        <f>37205796+125000000</f>
        <v>162205796</v>
      </c>
      <c r="G17" s="6"/>
    </row>
    <row r="18" spans="1:7" ht="12" customHeight="1" x14ac:dyDescent="0.25">
      <c r="A18" s="71" t="s">
        <v>11</v>
      </c>
      <c r="B18" s="78">
        <v>397947</v>
      </c>
      <c r="C18" s="78">
        <v>492000</v>
      </c>
      <c r="D18" s="56"/>
      <c r="E18" s="78">
        <v>492000</v>
      </c>
      <c r="F18" s="78">
        <v>492000</v>
      </c>
      <c r="G18" s="6"/>
    </row>
    <row r="19" spans="1:7" ht="14.1" customHeight="1" x14ac:dyDescent="0.25">
      <c r="A19" s="42" t="s">
        <v>62</v>
      </c>
      <c r="B19" s="84">
        <v>81973</v>
      </c>
      <c r="C19" s="84">
        <v>204068</v>
      </c>
      <c r="D19" s="37"/>
      <c r="E19" s="84">
        <v>204068</v>
      </c>
      <c r="F19" s="84">
        <v>220491</v>
      </c>
      <c r="G19" s="6"/>
    </row>
    <row r="20" spans="1:7" ht="12" customHeight="1" x14ac:dyDescent="0.25">
      <c r="A20" s="71" t="s">
        <v>12</v>
      </c>
      <c r="B20" s="78">
        <v>1345024</v>
      </c>
      <c r="C20" s="78">
        <v>1876355</v>
      </c>
      <c r="D20" s="56"/>
      <c r="E20" s="78">
        <v>1876355</v>
      </c>
      <c r="F20" s="78">
        <v>1876355</v>
      </c>
      <c r="G20" s="6"/>
    </row>
    <row r="21" spans="1:7" ht="12" customHeight="1" x14ac:dyDescent="0.25">
      <c r="A21" s="42" t="s">
        <v>13</v>
      </c>
      <c r="B21" s="84">
        <v>183179974</v>
      </c>
      <c r="C21" s="84">
        <v>183790475</v>
      </c>
      <c r="D21" s="37"/>
      <c r="E21" s="84">
        <v>183790475</v>
      </c>
      <c r="F21" s="84">
        <v>186895119</v>
      </c>
      <c r="G21" s="6"/>
    </row>
    <row r="22" spans="1:7" s="6" customFormat="1" ht="14.1" customHeight="1" x14ac:dyDescent="0.2">
      <c r="A22" s="71" t="s">
        <v>79</v>
      </c>
      <c r="B22" s="78">
        <v>66837911</v>
      </c>
      <c r="C22" s="78">
        <v>69285812</v>
      </c>
      <c r="D22" s="56"/>
      <c r="E22" s="78">
        <v>69285812</v>
      </c>
      <c r="F22" s="78">
        <v>69269389</v>
      </c>
    </row>
    <row r="23" spans="1:7" ht="12" customHeight="1" x14ac:dyDescent="0.25">
      <c r="A23" s="42" t="s">
        <v>14</v>
      </c>
      <c r="B23" s="84">
        <v>1837636</v>
      </c>
      <c r="C23" s="84">
        <v>2979103</v>
      </c>
      <c r="D23" s="37"/>
      <c r="E23" s="84">
        <v>2979103</v>
      </c>
      <c r="F23" s="84">
        <v>3023611</v>
      </c>
      <c r="G23" s="6"/>
    </row>
    <row r="24" spans="1:7" ht="12" customHeight="1" x14ac:dyDescent="0.25">
      <c r="A24" s="71" t="s">
        <v>63</v>
      </c>
      <c r="B24" s="78">
        <v>918569636</v>
      </c>
      <c r="C24" s="78">
        <v>958400000</v>
      </c>
      <c r="D24" s="56"/>
      <c r="E24" s="78">
        <v>958400000</v>
      </c>
      <c r="F24" s="78">
        <v>958400000</v>
      </c>
      <c r="G24" s="6"/>
    </row>
    <row r="25" spans="1:7" ht="12" customHeight="1" x14ac:dyDescent="0.25">
      <c r="A25" s="42" t="s">
        <v>73</v>
      </c>
      <c r="B25" s="84">
        <f>232818</f>
        <v>232818</v>
      </c>
      <c r="C25" s="84">
        <f>1083085+2000000</f>
        <v>3083085</v>
      </c>
      <c r="D25" s="37"/>
      <c r="E25" s="84">
        <f>1083085+2000000</f>
        <v>3083085</v>
      </c>
      <c r="F25" s="84">
        <f>1085859+2000000</f>
        <v>3085859</v>
      </c>
      <c r="G25" s="6"/>
    </row>
    <row r="26" spans="1:7" ht="12" customHeight="1" x14ac:dyDescent="0.25">
      <c r="A26" s="90" t="s">
        <v>15</v>
      </c>
      <c r="B26" s="98"/>
      <c r="C26" s="98"/>
      <c r="D26" s="98"/>
      <c r="E26" s="99"/>
      <c r="F26" s="99"/>
      <c r="G26" s="6"/>
    </row>
    <row r="27" spans="1:7" ht="12" customHeight="1" x14ac:dyDescent="0.25">
      <c r="A27" s="91" t="s">
        <v>74</v>
      </c>
      <c r="B27" s="78">
        <v>0</v>
      </c>
      <c r="C27" s="78">
        <v>154471</v>
      </c>
      <c r="D27" s="56"/>
      <c r="E27" s="78">
        <v>154471</v>
      </c>
      <c r="F27" s="78">
        <v>154826</v>
      </c>
      <c r="G27" s="6"/>
    </row>
    <row r="28" spans="1:7" ht="12" customHeight="1" x14ac:dyDescent="0.25">
      <c r="A28" s="42" t="s">
        <v>19</v>
      </c>
      <c r="B28" s="84">
        <f>922536+388496</f>
        <v>1311032</v>
      </c>
      <c r="C28" s="84">
        <f>1080000+629749</f>
        <v>1709749</v>
      </c>
      <c r="D28" s="37"/>
      <c r="E28" s="84">
        <f>1080000+629749</f>
        <v>1709749</v>
      </c>
      <c r="F28" s="84">
        <f>1080000+630296</f>
        <v>1710296</v>
      </c>
      <c r="G28" s="6"/>
    </row>
    <row r="29" spans="1:7" ht="12" customHeight="1" x14ac:dyDescent="0.25">
      <c r="A29" s="71" t="s">
        <v>64</v>
      </c>
      <c r="B29" s="78">
        <v>271562387</v>
      </c>
      <c r="C29" s="78">
        <v>353359576</v>
      </c>
      <c r="D29" s="56"/>
      <c r="E29" s="78">
        <v>353359576</v>
      </c>
      <c r="F29" s="78">
        <v>350254932</v>
      </c>
      <c r="G29" s="6"/>
    </row>
    <row r="30" spans="1:7" ht="12" customHeight="1" x14ac:dyDescent="0.25">
      <c r="A30" s="42" t="s">
        <v>75</v>
      </c>
      <c r="B30" s="84">
        <v>7522175</v>
      </c>
      <c r="C30" s="84">
        <v>11500000</v>
      </c>
      <c r="D30" s="37"/>
      <c r="E30" s="84">
        <v>11500000</v>
      </c>
      <c r="F30" s="84">
        <v>11500000</v>
      </c>
      <c r="G30" s="6"/>
    </row>
    <row r="31" spans="1:7" ht="12" customHeight="1" x14ac:dyDescent="0.25">
      <c r="A31" s="71" t="s">
        <v>16</v>
      </c>
      <c r="B31" s="100"/>
      <c r="C31" s="100"/>
      <c r="D31" s="101"/>
      <c r="E31" s="100"/>
      <c r="F31" s="100"/>
      <c r="G31" s="6"/>
    </row>
    <row r="32" spans="1:7" ht="12" customHeight="1" x14ac:dyDescent="0.25">
      <c r="A32" s="91" t="s">
        <v>17</v>
      </c>
      <c r="B32" s="78">
        <v>25699604</v>
      </c>
      <c r="C32" s="78">
        <v>26589250</v>
      </c>
      <c r="D32" s="56"/>
      <c r="E32" s="78">
        <v>28650225</v>
      </c>
      <c r="F32" s="78">
        <v>34100008</v>
      </c>
      <c r="G32" s="6"/>
    </row>
    <row r="33" spans="1:7" ht="12" customHeight="1" x14ac:dyDescent="0.25">
      <c r="A33" s="42" t="s">
        <v>8</v>
      </c>
      <c r="B33" s="84">
        <f>64663+213028+807693+0+19000+830790+1554</f>
        <v>1936728</v>
      </c>
      <c r="C33" s="84">
        <f>150421+390556+1878635+100000+200000+1500000+49500</f>
        <v>4269112</v>
      </c>
      <c r="D33" s="37"/>
      <c r="E33" s="84">
        <f>150421+390556+1878635+100000+200000+1500000+49500</f>
        <v>4269112</v>
      </c>
      <c r="F33" s="84">
        <f>150421+390556+1881023+100000+200000+1500000+49500</f>
        <v>4271500</v>
      </c>
      <c r="G33" s="6"/>
    </row>
    <row r="34" spans="1:7" ht="12" customHeight="1" thickBot="1" x14ac:dyDescent="0.3">
      <c r="A34" s="6"/>
      <c r="B34" s="6"/>
      <c r="C34" s="6"/>
      <c r="D34" s="6"/>
      <c r="E34" s="6"/>
      <c r="F34" s="6"/>
      <c r="G34" s="6"/>
    </row>
    <row r="35" spans="1:7" ht="12" customHeight="1" x14ac:dyDescent="0.25">
      <c r="A35" s="43" t="s">
        <v>5</v>
      </c>
      <c r="B35" s="62">
        <f>SUM(B36:B38)</f>
        <v>1554.3</v>
      </c>
      <c r="C35" s="62">
        <f>SUM(C36:C38)</f>
        <v>1651.1799999999998</v>
      </c>
      <c r="D35" s="63"/>
      <c r="E35" s="62">
        <f>SUM(E36:E38)</f>
        <v>1652.1799999999998</v>
      </c>
      <c r="F35" s="62">
        <f>SUM(F36:F38)</f>
        <v>1770.33</v>
      </c>
      <c r="G35" s="44"/>
    </row>
    <row r="36" spans="1:7" ht="12" customHeight="1" x14ac:dyDescent="0.25">
      <c r="A36" s="19" t="s">
        <v>6</v>
      </c>
      <c r="B36" s="64">
        <v>731.74</v>
      </c>
      <c r="C36" s="64">
        <v>784.52</v>
      </c>
      <c r="D36" s="65"/>
      <c r="E36" s="64">
        <v>784.52</v>
      </c>
      <c r="F36" s="64">
        <v>818.46</v>
      </c>
      <c r="G36" s="11"/>
    </row>
    <row r="37" spans="1:7" ht="12" customHeight="1" x14ac:dyDescent="0.25">
      <c r="A37" s="51" t="s">
        <v>7</v>
      </c>
      <c r="B37" s="66">
        <v>805.72</v>
      </c>
      <c r="C37" s="66">
        <v>845.91</v>
      </c>
      <c r="D37" s="67"/>
      <c r="E37" s="66">
        <v>846.91</v>
      </c>
      <c r="F37" s="66">
        <v>930.12</v>
      </c>
      <c r="G37" s="45"/>
    </row>
    <row r="38" spans="1:7" ht="12" customHeight="1" thickBot="1" x14ac:dyDescent="0.3">
      <c r="A38" s="20" t="s">
        <v>8</v>
      </c>
      <c r="B38" s="68">
        <v>16.84</v>
      </c>
      <c r="C38" s="68">
        <v>20.75</v>
      </c>
      <c r="D38" s="69"/>
      <c r="E38" s="68">
        <v>20.75</v>
      </c>
      <c r="F38" s="68">
        <v>21.75</v>
      </c>
      <c r="G38" s="12"/>
    </row>
    <row r="41" spans="1:7" x14ac:dyDescent="0.25">
      <c r="A41" s="74"/>
      <c r="B41" s="76"/>
      <c r="C41" s="76"/>
      <c r="D41" s="76"/>
      <c r="E41" s="76"/>
      <c r="F41" s="76"/>
    </row>
    <row r="42" spans="1:7" x14ac:dyDescent="0.25">
      <c r="A42" s="74"/>
      <c r="B42" s="76"/>
      <c r="C42" s="76"/>
      <c r="D42" s="76"/>
      <c r="E42" s="76"/>
      <c r="F42" s="76"/>
    </row>
    <row r="43" spans="1:7" x14ac:dyDescent="0.25">
      <c r="A43" s="74"/>
      <c r="B43" s="76"/>
      <c r="C43" s="76"/>
      <c r="D43" s="76"/>
      <c r="E43" s="76"/>
      <c r="F43" s="76"/>
    </row>
    <row r="44" spans="1:7" x14ac:dyDescent="0.25">
      <c r="A44" s="74"/>
      <c r="B44" s="76"/>
      <c r="C44" s="76"/>
      <c r="D44" s="76"/>
      <c r="E44" s="76"/>
      <c r="F44" s="76"/>
    </row>
    <row r="45" spans="1:7" x14ac:dyDescent="0.25">
      <c r="A45" s="74"/>
      <c r="B45" s="76"/>
      <c r="C45" s="76"/>
      <c r="D45" s="76"/>
      <c r="E45" s="76"/>
      <c r="F45" s="76"/>
    </row>
    <row r="46" spans="1:7" x14ac:dyDescent="0.25">
      <c r="A46" s="74"/>
      <c r="B46" s="76"/>
      <c r="C46" s="76"/>
      <c r="D46" s="76"/>
      <c r="E46" s="76"/>
      <c r="F46" s="76"/>
    </row>
    <row r="47" spans="1:7" x14ac:dyDescent="0.25">
      <c r="A47" s="74"/>
      <c r="B47" s="76"/>
      <c r="C47" s="76"/>
      <c r="D47" s="76"/>
      <c r="E47" s="76"/>
      <c r="F47" s="76"/>
    </row>
    <row r="48" spans="1:7" x14ac:dyDescent="0.25">
      <c r="A48" s="74"/>
      <c r="B48" s="76"/>
      <c r="C48" s="76"/>
      <c r="D48" s="76"/>
      <c r="E48" s="76"/>
      <c r="F48" s="76"/>
    </row>
    <row r="49" spans="1:6" x14ac:dyDescent="0.25">
      <c r="A49" s="74"/>
      <c r="B49" s="76"/>
      <c r="C49" s="76"/>
      <c r="D49" s="76"/>
      <c r="E49" s="76"/>
      <c r="F49" s="76"/>
    </row>
    <row r="50" spans="1:6" x14ac:dyDescent="0.25">
      <c r="A50" s="74"/>
      <c r="B50" s="76"/>
      <c r="C50" s="76"/>
      <c r="D50" s="76"/>
      <c r="E50" s="76"/>
      <c r="F50" s="76"/>
    </row>
    <row r="51" spans="1:6" x14ac:dyDescent="0.25">
      <c r="A51" s="75"/>
      <c r="B51" s="76"/>
      <c r="C51" s="76"/>
      <c r="D51" s="76"/>
      <c r="E51" s="76"/>
      <c r="F51" s="76"/>
    </row>
    <row r="52" spans="1:6" x14ac:dyDescent="0.25">
      <c r="A52" s="75"/>
      <c r="B52" s="76"/>
      <c r="C52" s="76"/>
      <c r="D52" s="76"/>
      <c r="E52" s="76"/>
      <c r="F52" s="76"/>
    </row>
    <row r="53" spans="1:6" x14ac:dyDescent="0.25">
      <c r="A53" s="75"/>
      <c r="B53" s="76"/>
      <c r="C53" s="76"/>
      <c r="D53" s="76"/>
      <c r="E53" s="76"/>
      <c r="F53" s="76"/>
    </row>
    <row r="54" spans="1:6" x14ac:dyDescent="0.25">
      <c r="A54" s="74"/>
      <c r="B54" s="82"/>
      <c r="C54" s="82"/>
      <c r="D54" s="82"/>
      <c r="E54" s="82"/>
      <c r="F54" s="82"/>
    </row>
    <row r="56" spans="1:6" ht="15.75" x14ac:dyDescent="0.25">
      <c r="A56" s="114" t="s">
        <v>77</v>
      </c>
      <c r="B56" s="114"/>
      <c r="C56" s="114"/>
      <c r="D56" s="114"/>
      <c r="E56" s="114"/>
      <c r="F56" s="114"/>
    </row>
  </sheetData>
  <sheetProtection formatCells="0" insertRows="0" selectLockedCells="1"/>
  <protectedRanges>
    <protectedRange algorithmName="SHA-512" hashValue="GqBIzzshgxW+5ID8jSwqsyL2ER2xapo4v2C/f9y0OKOzR6Uy6j21JsBxWIBiIA2uICeqfZObUsOUGZYVOw3w1g==" saltValue="2NT2wwn4eGAEf9bO/HiQQg==" spinCount="100000" sqref="A1:A7 F26:G26 D26:E31 B26:C26 B1:G5 B13:G14 G6:G12 F31:G31 G27:G30 B31:C34 D34:G34 G32:G33 D36:D38 G35:G38 B39:G41 G15:G25 A11:A41" name="Range1" securityDescriptor="O:WDG:WDD:(A;;CC;;;S-1-5-21-3219648850-738124763-203175933-17295)(A;;CC;;;S-1-5-21-3219648850-738124763-203175933-17298)(A;;CC;;;S-1-5-21-3219648850-738124763-203175933-17299)"/>
    <protectedRange algorithmName="SHA-512" hashValue="KrTtG6EZPih0zNpcaIkuM0PZO0Q6emJsf42MsJaCK2lPWwUD6GEMkcEPlwhmj3caDbZfmgJ0iA5mWPmItK2BvA==" saltValue="kctN55VpvsAr9Aa5VI6NUQ==" spinCount="100000" sqref="B6:F12 B27:F30 B32:F33 B15:F25" name="Range1_1" securityDescriptor="O:WDG:WDD:(A;;CC;;;S-1-5-21-3219648850-738124763-203175933-17295)(A;;CC;;;S-1-5-21-3219648850-738124763-203175933-17298)(A;;CC;;;S-1-5-21-3219648850-738124763-203175933-17299)"/>
    <protectedRange algorithmName="SHA-512" hashValue="lC9zXHv8et/z8Gku7jw46pEO79O9k8ZJsC4gi5b5J1/7Z8GEuIBNhEbfiMjg+y6Z4mtK8KzuX4UtbnwyRhe9kQ==" saltValue="QtuS5nmTmJuJWGSZXduYaw==" spinCount="100000" sqref="B35:B38" name="Range1_2" securityDescriptor="O:WDG:WDD:(A;;CC;;;S-1-5-21-3219648850-738124763-203175933-17295)(A;;CC;;;S-1-5-21-3219648850-738124763-203175933-17298)(A;;CC;;;S-1-5-21-3219648850-738124763-203175933-17299)"/>
    <protectedRange algorithmName="SHA-512" hashValue="OkMuteM6LS4pAyRUN+hDeQ/SfhYOk15OqIk5PdhPM+WEESaHLG//j7mHYIzUUYDAt6vQ6G9aX7yUBiEuSygxSA==" saltValue="t9RvUW60MUvb8vkh7JVnTQ==" spinCount="100000" sqref="C35:C38" name="Range1_3" securityDescriptor="O:WDG:WDD:(A;;CC;;;S-1-5-21-3219648850-738124763-203175933-17295)(A;;CC;;;S-1-5-21-3219648850-738124763-203175933-17298)(A;;CC;;;S-1-5-21-3219648850-738124763-203175933-17299)"/>
    <protectedRange algorithmName="SHA-512" hashValue="i1OqnqUb6hxktEKBlspluAfb416+mPj+7NhiaX+4NrYiWmMIx8Zr5MU+2jqUmu3XcoW8kuXguUuXUrdbYqggxg==" saltValue="cOfRTyrIoxSp+Q5cnf9HCA==" spinCount="100000" sqref="E35:E38" name="Range1_4" securityDescriptor="O:WDG:WDD:(A;;CC;;;S-1-5-21-3219648850-738124763-203175933-17295)(A;;CC;;;S-1-5-21-3219648850-738124763-203175933-17298)(A;;CC;;;S-1-5-21-3219648850-738124763-203175933-17299)"/>
    <protectedRange algorithmName="SHA-512" hashValue="7SdmurgsOvnpFTgdej3G1nK1NLS9wYcDxjWkAXYSh9jWPLkQIZIORB2WwNd/4+4Xt9kgj1DaP8q88kHlktqyew==" saltValue="Io8y72ztZbv6uokfZOA2ug==" spinCount="100000" sqref="F35:F38" name="Range1_5" securityDescriptor="O:WDG:WDD:(A;;CC;;;S-1-5-21-3219648850-738124763-203175933-17295)(A;;CC;;;S-1-5-21-3219648850-738124763-203175933-17298)(A;;CC;;;S-1-5-21-3219648850-738124763-203175933-17299)"/>
    <protectedRange password="CA89" sqref="A56" name="Range1_6" securityDescriptor="O:WDG:WDD:(A;;CC;;;S-1-5-21-3219648850-738124763-203175933-17295)(A;;CC;;;S-1-5-21-3219648850-738124763-203175933-17298)(A;;CC;;;S-1-5-21-3219648850-738124763-203175933-17299)"/>
  </protectedRanges>
  <mergeCells count="1">
    <mergeCell ref="A56:F56"/>
  </mergeCells>
  <conditionalFormatting sqref="A36:B38 D36:XFD38 A39:XFD40 A57:XFD1048576 G56:XFD56 A55:XFD55 A41:A49 A54 G41:XFD54 A50:F53 A1:XFD35">
    <cfRule type="expression" priority="15" stopIfTrue="1">
      <formula>CELL("protect",A1)=1</formula>
    </cfRule>
    <cfRule type="expression" dxfId="57" priority="16">
      <formula>CELL("protect",A1)=1</formula>
    </cfRule>
  </conditionalFormatting>
  <conditionalFormatting sqref="C36:C38">
    <cfRule type="expression" priority="11" stopIfTrue="1">
      <formula>CELL("protect",C36)=1</formula>
    </cfRule>
    <cfRule type="expression" dxfId="56" priority="12">
      <formula>CELL("protect",C36)=1</formula>
    </cfRule>
  </conditionalFormatting>
  <conditionalFormatting sqref="A56">
    <cfRule type="expression" priority="9" stopIfTrue="1">
      <formula>CELL("protect",A56)=1</formula>
    </cfRule>
    <cfRule type="expression" dxfId="55" priority="10">
      <formula>CELL("protect",A56)=1</formula>
    </cfRule>
  </conditionalFormatting>
  <conditionalFormatting sqref="B41:F41">
    <cfRule type="expression" priority="7" stopIfTrue="1">
      <formula>CELL("protect",B41)=1</formula>
    </cfRule>
    <cfRule type="expression" dxfId="54" priority="8">
      <formula>CELL("protect",B41)=1</formula>
    </cfRule>
  </conditionalFormatting>
  <conditionalFormatting sqref="B41:F41 B50:F53">
    <cfRule type="cellIs" dxfId="53" priority="5" operator="lessThan">
      <formula>0</formula>
    </cfRule>
    <cfRule type="cellIs" dxfId="52" priority="6" operator="greaterThan">
      <formula>0</formula>
    </cfRule>
  </conditionalFormatting>
  <conditionalFormatting sqref="B42:F49">
    <cfRule type="expression" priority="3" stopIfTrue="1">
      <formula>CELL("protect",B42)=1</formula>
    </cfRule>
    <cfRule type="expression" dxfId="51" priority="4">
      <formula>CELL("protect",B42)=1</formula>
    </cfRule>
  </conditionalFormatting>
  <conditionalFormatting sqref="B42:F49">
    <cfRule type="cellIs" dxfId="50" priority="1" operator="lessThan">
      <formula>0</formula>
    </cfRule>
    <cfRule type="cellIs" dxfId="49" priority="2" operator="greaterThan">
      <formula>0</formula>
    </cfRule>
  </conditionalFormatting>
  <pageMargins left="0.7" right="0.7" top="0.75" bottom="0.75" header="0.3" footer="0.3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8" width="8.75" style="1"/>
    <col min="9" max="9" width="12.125" style="1" bestFit="1" customWidth="1"/>
    <col min="10" max="16384" width="8.75" style="1"/>
  </cols>
  <sheetData>
    <row r="1" spans="1:8" ht="12" customHeight="1" x14ac:dyDescent="0.25">
      <c r="A1" s="22"/>
      <c r="B1" s="23"/>
      <c r="C1" s="24"/>
      <c r="D1" s="24"/>
      <c r="E1" s="24"/>
      <c r="F1" s="24" t="s">
        <v>80</v>
      </c>
      <c r="G1" s="25"/>
      <c r="H1" s="5"/>
    </row>
    <row r="2" spans="1:8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  <c r="H2" s="5"/>
    </row>
    <row r="3" spans="1:8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  <c r="H3" s="5"/>
    </row>
    <row r="4" spans="1:8" s="2" customFormat="1" ht="12" customHeight="1" x14ac:dyDescent="0.25">
      <c r="A4" s="5"/>
      <c r="B4" s="5"/>
      <c r="C4" s="5"/>
      <c r="D4" s="5"/>
      <c r="E4" s="5"/>
      <c r="F4" s="5"/>
      <c r="G4" s="5"/>
      <c r="H4" s="5"/>
    </row>
    <row r="5" spans="1:8" s="2" customFormat="1" ht="12" customHeight="1" x14ac:dyDescent="0.25">
      <c r="A5" s="37" t="s">
        <v>20</v>
      </c>
      <c r="B5" s="37"/>
      <c r="C5" s="102">
        <v>4203654</v>
      </c>
      <c r="D5" s="102">
        <v>4710139</v>
      </c>
      <c r="E5" s="38"/>
      <c r="F5" s="102">
        <f>4749137+190304</f>
        <v>4939441</v>
      </c>
      <c r="G5" s="5"/>
      <c r="H5" s="5"/>
    </row>
    <row r="6" spans="1:8" s="60" customFormat="1" ht="12" customHeight="1" x14ac:dyDescent="0.25">
      <c r="A6" s="56" t="s">
        <v>51</v>
      </c>
      <c r="B6" s="56"/>
      <c r="C6" s="78">
        <v>255994651</v>
      </c>
      <c r="D6" s="78">
        <v>321443177</v>
      </c>
      <c r="E6" s="57"/>
      <c r="F6" s="78">
        <v>321443177</v>
      </c>
      <c r="G6" s="55"/>
      <c r="H6" s="55"/>
    </row>
    <row r="7" spans="1:8" s="60" customFormat="1" ht="12" customHeight="1" x14ac:dyDescent="0.25">
      <c r="A7" s="37" t="s">
        <v>89</v>
      </c>
      <c r="B7" s="37"/>
      <c r="C7" s="84">
        <v>0</v>
      </c>
      <c r="D7" s="84">
        <v>0</v>
      </c>
      <c r="E7" s="38"/>
      <c r="F7" s="84">
        <v>1000000</v>
      </c>
      <c r="G7" s="55"/>
      <c r="H7" s="55"/>
    </row>
    <row r="8" spans="1:8" s="2" customFormat="1" ht="12" customHeight="1" x14ac:dyDescent="0.25">
      <c r="A8" s="56" t="s">
        <v>26</v>
      </c>
      <c r="B8" s="56"/>
      <c r="C8" s="78">
        <v>397947</v>
      </c>
      <c r="D8" s="78">
        <v>492000</v>
      </c>
      <c r="E8" s="61"/>
      <c r="F8" s="78">
        <v>492000</v>
      </c>
      <c r="G8" s="5"/>
      <c r="H8" s="5"/>
    </row>
    <row r="9" spans="1:8" s="60" customFormat="1" ht="12" customHeight="1" x14ac:dyDescent="0.25">
      <c r="A9" s="37" t="s">
        <v>27</v>
      </c>
      <c r="B9" s="37"/>
      <c r="C9" s="84">
        <v>669419</v>
      </c>
      <c r="D9" s="84">
        <v>15000000</v>
      </c>
      <c r="E9" s="52"/>
      <c r="F9" s="84">
        <v>15000000</v>
      </c>
      <c r="G9" s="55"/>
      <c r="H9" s="55"/>
    </row>
    <row r="10" spans="1:8" s="2" customFormat="1" ht="12" customHeight="1" x14ac:dyDescent="0.25">
      <c r="A10" s="56" t="s">
        <v>70</v>
      </c>
      <c r="B10" s="56"/>
      <c r="C10" s="78">
        <v>166297</v>
      </c>
      <c r="D10" s="78">
        <v>400000</v>
      </c>
      <c r="E10" s="61"/>
      <c r="F10" s="78">
        <v>400000</v>
      </c>
      <c r="G10" s="5"/>
      <c r="H10" s="5"/>
    </row>
    <row r="11" spans="1:8" s="2" customFormat="1" ht="13.5" customHeight="1" x14ac:dyDescent="0.25">
      <c r="A11" s="37" t="s">
        <v>81</v>
      </c>
      <c r="B11" s="37"/>
      <c r="C11" s="106">
        <v>67469751</v>
      </c>
      <c r="D11" s="106">
        <v>2238443000</v>
      </c>
      <c r="E11" s="38"/>
      <c r="F11" s="106">
        <v>125000000</v>
      </c>
      <c r="G11" s="5"/>
      <c r="H11" s="5"/>
    </row>
    <row r="12" spans="1:8" ht="12" customHeight="1" x14ac:dyDescent="0.25">
      <c r="A12" s="79" t="s">
        <v>28</v>
      </c>
      <c r="B12" s="79"/>
      <c r="C12" s="80">
        <f>SUM(C5:C11)</f>
        <v>328901719</v>
      </c>
      <c r="D12" s="80">
        <f>SUM(D5:D11)</f>
        <v>2580488316</v>
      </c>
      <c r="E12" s="81"/>
      <c r="F12" s="80">
        <f>SUM(F5:F11)</f>
        <v>468274618</v>
      </c>
      <c r="G12" s="5"/>
      <c r="H12" s="5"/>
    </row>
    <row r="13" spans="1:8" ht="12" customHeight="1" x14ac:dyDescent="0.25">
      <c r="A13" s="42" t="s">
        <v>6</v>
      </c>
      <c r="B13" s="53"/>
      <c r="C13" s="84">
        <v>5471321</v>
      </c>
      <c r="D13" s="84">
        <v>5816331</v>
      </c>
      <c r="E13" s="39"/>
      <c r="F13" s="84">
        <v>6920044</v>
      </c>
      <c r="G13" s="5"/>
      <c r="H13" s="5"/>
    </row>
    <row r="14" spans="1:8" ht="12" customHeight="1" x14ac:dyDescent="0.25">
      <c r="A14" s="71" t="s">
        <v>7</v>
      </c>
      <c r="B14" s="72"/>
      <c r="C14" s="78">
        <f>213668428+41894272+67469751</f>
        <v>323032451</v>
      </c>
      <c r="D14" s="78">
        <f>50000+335686985+2000000000+238443000</f>
        <v>2574179985</v>
      </c>
      <c r="E14" s="58"/>
      <c r="F14" s="78">
        <f>152241+335707116+0+125000000</f>
        <v>460859357</v>
      </c>
      <c r="G14" s="5"/>
      <c r="H14" s="5"/>
    </row>
    <row r="15" spans="1:8" ht="12" customHeight="1" x14ac:dyDescent="0.25">
      <c r="A15" s="42" t="s">
        <v>8</v>
      </c>
      <c r="B15" s="53"/>
      <c r="C15" s="84">
        <v>397947</v>
      </c>
      <c r="D15" s="84">
        <v>492000</v>
      </c>
      <c r="E15" s="39"/>
      <c r="F15" s="84">
        <v>495217</v>
      </c>
      <c r="G15" s="5"/>
      <c r="H15" s="5"/>
    </row>
    <row r="16" spans="1:8" ht="12" customHeight="1" thickBot="1" x14ac:dyDescent="0.3">
      <c r="A16" s="5"/>
      <c r="B16" s="5"/>
      <c r="C16" s="8"/>
      <c r="D16" s="8"/>
      <c r="E16" s="8"/>
      <c r="F16" s="8"/>
      <c r="G16" s="5"/>
      <c r="H16" s="5"/>
    </row>
    <row r="17" spans="1:8" ht="12" customHeight="1" thickBot="1" x14ac:dyDescent="0.3">
      <c r="A17" s="46" t="s">
        <v>5</v>
      </c>
      <c r="B17" s="47"/>
      <c r="C17" s="70">
        <v>67.849999999999994</v>
      </c>
      <c r="D17" s="70">
        <v>73</v>
      </c>
      <c r="E17" s="70"/>
      <c r="F17" s="70">
        <v>76</v>
      </c>
      <c r="G17" s="50"/>
      <c r="H17" s="5"/>
    </row>
    <row r="18" spans="1:8" ht="15" x14ac:dyDescent="0.25">
      <c r="A18" s="5"/>
      <c r="B18" s="5"/>
      <c r="C18" s="5"/>
      <c r="D18" s="5"/>
      <c r="E18" s="5"/>
      <c r="F18" s="5"/>
      <c r="G18" s="5"/>
      <c r="H18" s="5"/>
    </row>
    <row r="19" spans="1:8" ht="15" x14ac:dyDescent="0.25">
      <c r="A19" s="5"/>
      <c r="B19" s="5"/>
      <c r="C19" s="5"/>
      <c r="D19" s="5"/>
      <c r="E19" s="5"/>
      <c r="F19" s="5"/>
      <c r="G19" s="5"/>
      <c r="H19" s="5"/>
    </row>
    <row r="20" spans="1:8" ht="15" x14ac:dyDescent="0.25">
      <c r="A20" s="3" t="s">
        <v>9</v>
      </c>
      <c r="B20" s="4"/>
      <c r="C20" s="14">
        <f>C12-SUM(C13:C15)</f>
        <v>0</v>
      </c>
      <c r="D20" s="14">
        <f>D12-SUM(D13:D15)</f>
        <v>0</v>
      </c>
      <c r="E20" s="5"/>
      <c r="F20" s="14">
        <f>F12-SUM(F13:F15)</f>
        <v>0</v>
      </c>
      <c r="G20" s="2"/>
    </row>
  </sheetData>
  <sheetProtection formatCells="0" insertRows="0" selectLockedCells="1"/>
  <protectedRanges>
    <protectedRange password="CA89" sqref="B4:G4 B5 E5 G5 B6:G8 G9:G10 E9:E10 B9:B10 A4:A10 A11:G21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9:D10" name="Range1_3" securityDescriptor="O:WDG:WDD:(A;;CC;;;S-1-5-21-3219648850-738124763-203175933-17295)(A;;CC;;;S-1-5-21-3219648850-738124763-203175933-17298)(A;;CC;;;S-1-5-21-3219648850-738124763-203175933-17299)"/>
    <protectedRange password="CA89" sqref="F9:F10" name="Range1_4" securityDescriptor="O:WDG:WDD:(A;;CC;;;S-1-5-21-3219648850-738124763-203175933-17295)(A;;CC;;;S-1-5-21-3219648850-738124763-203175933-17298)(A;;CC;;;S-1-5-21-3219648850-738124763-203175933-17299)"/>
    <protectedRange password="CA89" sqref="A1:G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21:XFD1048576 A20:B20 G20:XFD20 A4:XFD10 A12:XFD19 A11:B11 G11:XFD11 E11">
    <cfRule type="expression" dxfId="48" priority="17">
      <formula>CELL("protect",A1)=1</formula>
    </cfRule>
  </conditionalFormatting>
  <conditionalFormatting sqref="A4:G10 A12:G17 A11:B11 G11 E11">
    <cfRule type="expression" priority="16" stopIfTrue="1">
      <formula>CELL("protect",A4)=1</formula>
    </cfRule>
  </conditionalFormatting>
  <conditionalFormatting sqref="A1:G3">
    <cfRule type="expression" priority="11" stopIfTrue="1">
      <formula>CELL("protect",A1)=1</formula>
    </cfRule>
    <cfRule type="expression" dxfId="47" priority="12">
      <formula>CELL("protect",A1)=1</formula>
    </cfRule>
  </conditionalFormatting>
  <conditionalFormatting sqref="C20:F20">
    <cfRule type="expression" priority="9" stopIfTrue="1">
      <formula>CELL("protect",C20)=1</formula>
    </cfRule>
    <cfRule type="expression" dxfId="46" priority="10">
      <formula>CELL("protect",C20)=1</formula>
    </cfRule>
  </conditionalFormatting>
  <conditionalFormatting sqref="C20:F20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F11">
    <cfRule type="expression" priority="5" stopIfTrue="1">
      <formula>CELL("protect",F11)=1</formula>
    </cfRule>
    <cfRule type="expression" dxfId="43" priority="6">
      <formula>CELL("protect",F11)=1</formula>
    </cfRule>
  </conditionalFormatting>
  <conditionalFormatting sqref="D11">
    <cfRule type="expression" priority="3" stopIfTrue="1">
      <formula>CELL("protect",D11)=1</formula>
    </cfRule>
    <cfRule type="expression" dxfId="42" priority="4">
      <formula>CELL("protect",D11)=1</formula>
    </cfRule>
  </conditionalFormatting>
  <conditionalFormatting sqref="C11">
    <cfRule type="expression" priority="1" stopIfTrue="1">
      <formula>CELL("protect",C11)=1</formula>
    </cfRule>
    <cfRule type="expression" dxfId="41" priority="2">
      <formula>CELL("protect",C11)=1</formula>
    </cfRule>
  </conditionalFormatting>
  <pageMargins left="0.7" right="0.7" top="0.75" bottom="0.75" header="0.3" footer="0.3"/>
  <pageSetup scale="80" orientation="portrait" blackAndWhite="1" r:id="rId1"/>
  <ignoredErrors>
    <ignoredError sqref="F5 C14:D14 F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80</v>
      </c>
      <c r="G1" s="25"/>
    </row>
    <row r="2" spans="1:7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/>
    <row r="5" spans="1:7" ht="12" customHeight="1" x14ac:dyDescent="0.25">
      <c r="A5" s="37" t="s">
        <v>29</v>
      </c>
      <c r="B5" s="37"/>
      <c r="C5" s="102">
        <f>2343631067+1001327276</f>
        <v>3344958343</v>
      </c>
      <c r="D5" s="102">
        <f>2579703572+973508313</f>
        <v>3553211885</v>
      </c>
      <c r="E5" s="37"/>
      <c r="F5" s="102">
        <f>2596175622+965562172</f>
        <v>3561737794</v>
      </c>
      <c r="G5" s="9"/>
    </row>
    <row r="6" spans="1:7" ht="12" customHeight="1" x14ac:dyDescent="0.25">
      <c r="A6" s="56" t="s">
        <v>30</v>
      </c>
      <c r="B6" s="56"/>
      <c r="C6" s="78">
        <v>15000000</v>
      </c>
      <c r="D6" s="78">
        <v>15000000</v>
      </c>
      <c r="E6" s="56"/>
      <c r="F6" s="78">
        <v>15000000</v>
      </c>
    </row>
    <row r="7" spans="1:7" ht="12" customHeight="1" x14ac:dyDescent="0.25">
      <c r="A7" s="37" t="s">
        <v>31</v>
      </c>
      <c r="B7" s="37"/>
      <c r="C7" s="84">
        <v>93245338</v>
      </c>
      <c r="D7" s="84">
        <v>93947713</v>
      </c>
      <c r="E7" s="37"/>
      <c r="F7" s="84">
        <v>93947713</v>
      </c>
    </row>
    <row r="8" spans="1:7" ht="12" customHeight="1" x14ac:dyDescent="0.25">
      <c r="A8" s="56" t="s">
        <v>32</v>
      </c>
      <c r="B8" s="56"/>
      <c r="C8" s="78">
        <v>206543263</v>
      </c>
      <c r="D8" s="78">
        <v>206543263</v>
      </c>
      <c r="E8" s="56"/>
      <c r="F8" s="78">
        <v>0</v>
      </c>
    </row>
    <row r="9" spans="1:7" ht="12" customHeight="1" x14ac:dyDescent="0.25">
      <c r="A9" s="37" t="s">
        <v>33</v>
      </c>
      <c r="B9" s="37"/>
      <c r="C9" s="84">
        <v>50069028</v>
      </c>
      <c r="D9" s="84">
        <v>50069028</v>
      </c>
      <c r="E9" s="37"/>
      <c r="F9" s="84">
        <v>50069028</v>
      </c>
    </row>
    <row r="10" spans="1:7" ht="12" customHeight="1" x14ac:dyDescent="0.25">
      <c r="A10" s="56" t="s">
        <v>54</v>
      </c>
      <c r="B10" s="56"/>
      <c r="C10" s="78">
        <v>19822370</v>
      </c>
      <c r="D10" s="78">
        <v>21058000</v>
      </c>
      <c r="E10" s="56"/>
      <c r="F10" s="78">
        <v>0</v>
      </c>
    </row>
    <row r="11" spans="1:7" ht="12" customHeight="1" x14ac:dyDescent="0.25">
      <c r="A11" s="37" t="s">
        <v>34</v>
      </c>
      <c r="B11" s="37"/>
      <c r="C11" s="84">
        <v>918569636</v>
      </c>
      <c r="D11" s="84">
        <v>958400000</v>
      </c>
      <c r="E11" s="37"/>
      <c r="F11" s="84">
        <v>958400000</v>
      </c>
    </row>
    <row r="12" spans="1:7" ht="12" customHeight="1" x14ac:dyDescent="0.25">
      <c r="A12" s="56" t="s">
        <v>78</v>
      </c>
      <c r="B12" s="59"/>
      <c r="C12" s="78">
        <v>167058</v>
      </c>
      <c r="D12" s="78">
        <v>200000</v>
      </c>
      <c r="E12" s="56"/>
      <c r="F12" s="78">
        <v>0</v>
      </c>
    </row>
    <row r="13" spans="1:7" ht="12" customHeight="1" x14ac:dyDescent="0.25">
      <c r="A13" s="37" t="s">
        <v>82</v>
      </c>
      <c r="B13" s="54"/>
      <c r="C13" s="84">
        <v>0</v>
      </c>
      <c r="D13" s="84">
        <v>2000000</v>
      </c>
      <c r="E13" s="37"/>
      <c r="F13" s="84">
        <v>2000000</v>
      </c>
    </row>
    <row r="14" spans="1:7" s="55" customFormat="1" ht="12" customHeight="1" x14ac:dyDescent="0.25">
      <c r="A14" s="56" t="s">
        <v>83</v>
      </c>
      <c r="B14" s="56"/>
      <c r="C14" s="78">
        <v>101011</v>
      </c>
      <c r="D14" s="78">
        <v>1089778</v>
      </c>
      <c r="E14" s="56"/>
      <c r="F14" s="78">
        <v>1089778</v>
      </c>
      <c r="G14" s="59"/>
    </row>
    <row r="15" spans="1:7" s="55" customFormat="1" ht="12" customHeight="1" x14ac:dyDescent="0.25">
      <c r="A15" s="37" t="s">
        <v>84</v>
      </c>
      <c r="B15" s="37"/>
      <c r="C15" s="84">
        <v>291000</v>
      </c>
      <c r="D15" s="84">
        <v>300000</v>
      </c>
      <c r="E15" s="37"/>
      <c r="F15" s="84">
        <v>300000</v>
      </c>
      <c r="G15" s="59"/>
    </row>
    <row r="16" spans="1:7" s="55" customFormat="1" ht="12" customHeight="1" x14ac:dyDescent="0.25">
      <c r="A16" s="56" t="s">
        <v>65</v>
      </c>
      <c r="B16" s="56"/>
      <c r="C16" s="78">
        <v>23199</v>
      </c>
      <c r="D16" s="78">
        <v>0</v>
      </c>
      <c r="E16" s="56"/>
      <c r="F16" s="78">
        <v>0</v>
      </c>
      <c r="G16" s="59"/>
    </row>
    <row r="17" spans="1:7" s="55" customFormat="1" ht="12" customHeight="1" x14ac:dyDescent="0.25">
      <c r="A17" s="37" t="s">
        <v>35</v>
      </c>
      <c r="B17" s="37"/>
      <c r="C17" s="84">
        <v>1455000</v>
      </c>
      <c r="D17" s="84">
        <v>1700000</v>
      </c>
      <c r="E17" s="37"/>
      <c r="F17" s="84">
        <v>1700000</v>
      </c>
      <c r="G17" s="59"/>
    </row>
    <row r="18" spans="1:7" s="55" customFormat="1" ht="12" customHeight="1" x14ac:dyDescent="0.25">
      <c r="A18" s="56" t="s">
        <v>68</v>
      </c>
      <c r="B18" s="56"/>
      <c r="C18" s="78">
        <v>210625</v>
      </c>
      <c r="D18" s="78">
        <v>250000</v>
      </c>
      <c r="E18" s="56"/>
      <c r="F18" s="78">
        <v>250000</v>
      </c>
      <c r="G18" s="59"/>
    </row>
    <row r="19" spans="1:7" s="55" customFormat="1" ht="13.5" customHeight="1" x14ac:dyDescent="0.25">
      <c r="A19" s="37" t="s">
        <v>69</v>
      </c>
      <c r="B19" s="37"/>
      <c r="C19" s="106">
        <v>280875</v>
      </c>
      <c r="D19" s="106">
        <v>450000</v>
      </c>
      <c r="E19" s="37"/>
      <c r="F19" s="106">
        <v>450000</v>
      </c>
      <c r="G19" s="59"/>
    </row>
    <row r="20" spans="1:7" s="55" customFormat="1" ht="12" customHeight="1" x14ac:dyDescent="0.25">
      <c r="A20" s="79" t="s">
        <v>28</v>
      </c>
      <c r="B20" s="79"/>
      <c r="C20" s="80">
        <f>SUM(C5:C19)</f>
        <v>4650736746</v>
      </c>
      <c r="D20" s="80">
        <f>SUM(D5:D19)</f>
        <v>4904219667</v>
      </c>
      <c r="E20" s="79"/>
      <c r="F20" s="80">
        <f>SUM(F5:F19)</f>
        <v>4684944313</v>
      </c>
      <c r="G20" s="59"/>
    </row>
    <row r="21" spans="1:7" s="55" customFormat="1" ht="12" customHeight="1" x14ac:dyDescent="0.25">
      <c r="A21" s="42" t="s">
        <v>6</v>
      </c>
      <c r="B21" s="53"/>
      <c r="C21" s="84">
        <v>3217362740</v>
      </c>
      <c r="D21" s="84">
        <v>3343025485</v>
      </c>
      <c r="E21" s="37"/>
      <c r="F21" s="84">
        <v>3164763171</v>
      </c>
      <c r="G21" s="59"/>
    </row>
    <row r="22" spans="1:7" s="55" customFormat="1" ht="12" customHeight="1" x14ac:dyDescent="0.25">
      <c r="A22" s="71" t="s">
        <v>7</v>
      </c>
      <c r="B22" s="72"/>
      <c r="C22" s="78">
        <v>0</v>
      </c>
      <c r="D22" s="78">
        <v>2000000</v>
      </c>
      <c r="E22" s="78"/>
      <c r="F22" s="78">
        <v>2000000</v>
      </c>
      <c r="G22" s="59"/>
    </row>
    <row r="23" spans="1:7" s="55" customFormat="1" ht="12" customHeight="1" x14ac:dyDescent="0.25">
      <c r="A23" s="42" t="s">
        <v>8</v>
      </c>
      <c r="B23" s="53"/>
      <c r="C23" s="84">
        <f>81973+152959954+66837911+918569636+271562387+23362145</f>
        <v>1433374006</v>
      </c>
      <c r="D23" s="84">
        <f>204068+153489220+69276785+958400000+353359576+24464533</f>
        <v>1559194182</v>
      </c>
      <c r="E23" s="37"/>
      <c r="F23" s="84">
        <v>1518181142</v>
      </c>
      <c r="G23" s="59"/>
    </row>
    <row r="24" spans="1:7" ht="12" customHeight="1" thickBot="1" x14ac:dyDescent="0.3">
      <c r="A24" s="59"/>
      <c r="B24" s="59"/>
      <c r="C24" s="56"/>
      <c r="D24" s="56"/>
      <c r="E24" s="56"/>
      <c r="F24" s="56"/>
      <c r="G24" s="59"/>
    </row>
    <row r="25" spans="1:7" ht="15" thickBot="1" x14ac:dyDescent="0.3">
      <c r="A25" s="46" t="s">
        <v>5</v>
      </c>
      <c r="B25" s="47"/>
      <c r="C25" s="48">
        <v>0</v>
      </c>
      <c r="D25" s="48">
        <v>0</v>
      </c>
      <c r="E25" s="49"/>
      <c r="F25" s="48">
        <v>0</v>
      </c>
      <c r="G25" s="50"/>
    </row>
    <row r="28" spans="1:7" x14ac:dyDescent="0.25">
      <c r="A28" s="13" t="s">
        <v>9</v>
      </c>
      <c r="B28" s="18"/>
      <c r="C28" s="14">
        <f>C20-SUM(C21:C23)</f>
        <v>0</v>
      </c>
      <c r="D28" s="14">
        <f>D20-SUM(D21:D23)</f>
        <v>0</v>
      </c>
      <c r="F28" s="14">
        <f>F20-SUM(F21:F23)</f>
        <v>0</v>
      </c>
    </row>
    <row r="29" spans="1:7" x14ac:dyDescent="0.25">
      <c r="A29" s="18"/>
      <c r="B29" s="18"/>
      <c r="C29" s="21"/>
      <c r="D29" s="21"/>
      <c r="E29" s="21"/>
      <c r="F29" s="21"/>
    </row>
  </sheetData>
  <sheetProtection formatCells="0" insertRows="0" selectLockedCells="1"/>
  <protectedRanges>
    <protectedRange password="CA89" sqref="B4:G4 E5 G5:G11 B5:B11 A14:A16 A12:G13 G14:G19 B14:B19 A4:A11 A20:G29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6:F11 C14:F19" name="Range1_5" securityDescriptor="O:WDG:WDD:(A;;CC;;;S-1-5-21-3219648850-738124763-203175933-17295)(A;;CC;;;S-1-5-21-3219648850-738124763-203175933-17298)(A;;CC;;;S-1-5-21-3219648850-738124763-203175933-17299)"/>
    <protectedRange password="CA89" sqref="A1:B3 G1:G3" name="Range1_3" securityDescriptor="O:WDG:WDD:(A;;CC;;;S-1-5-21-3219648850-738124763-203175933-17295)(A;;CC;;;S-1-5-21-3219648850-738124763-203175933-17298)(A;;CC;;;S-1-5-21-3219648850-738124763-203175933-17299)"/>
    <protectedRange password="CA89" sqref="C1:F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23:XFD1048576 G22:XFD22 A4:XFD21">
    <cfRule type="expression" priority="10" stopIfTrue="1">
      <formula>CELL("protect",A1)=1</formula>
    </cfRule>
    <cfRule type="expression" dxfId="40" priority="11">
      <formula>CELL("protect",A1)=1</formula>
    </cfRule>
  </conditionalFormatting>
  <conditionalFormatting sqref="C28:F28">
    <cfRule type="cellIs" dxfId="39" priority="7" operator="lessThan">
      <formula>0</formula>
    </cfRule>
    <cfRule type="cellIs" dxfId="38" priority="9" operator="greaterThan">
      <formula>0</formula>
    </cfRule>
  </conditionalFormatting>
  <conditionalFormatting sqref="A1:B3 G1:G3">
    <cfRule type="expression" priority="5" stopIfTrue="1">
      <formula>CELL("protect",A1)=1</formula>
    </cfRule>
    <cfRule type="expression" dxfId="37" priority="6">
      <formula>CELL("protect",A1)=1</formula>
    </cfRule>
  </conditionalFormatting>
  <conditionalFormatting sqref="C1:F3">
    <cfRule type="expression" priority="3" stopIfTrue="1">
      <formula>CELL("protect",C1)=1</formula>
    </cfRule>
    <cfRule type="expression" dxfId="36" priority="4">
      <formula>CELL("protect",C1)=1</formula>
    </cfRule>
  </conditionalFormatting>
  <conditionalFormatting sqref="A22:F22">
    <cfRule type="expression" priority="1" stopIfTrue="1">
      <formula>CELL("protect",A22)=1</formula>
    </cfRule>
    <cfRule type="expression" dxfId="35" priority="2">
      <formula>CELL("protect",A22)=1</formula>
    </cfRule>
  </conditionalFormatting>
  <pageMargins left="0.7" right="0.7" top="0.75" bottom="0.75" header="0.3" footer="0.3"/>
  <pageSetup scale="80" orientation="portrait" blackAndWhite="1" r:id="rId1"/>
  <ignoredErrors>
    <ignoredError sqref="C5:D5 F5 C23:D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8" ht="12" customHeight="1" x14ac:dyDescent="0.25">
      <c r="A1" s="22"/>
      <c r="B1" s="23"/>
      <c r="C1" s="24"/>
      <c r="D1" s="24"/>
      <c r="E1" s="24"/>
      <c r="F1" s="24" t="s">
        <v>80</v>
      </c>
      <c r="G1" s="25"/>
    </row>
    <row r="2" spans="1:8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</row>
    <row r="3" spans="1:8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8" ht="12" customHeight="1" x14ac:dyDescent="0.25"/>
    <row r="5" spans="1:8" ht="12" customHeight="1" x14ac:dyDescent="0.25">
      <c r="A5" s="37" t="s">
        <v>21</v>
      </c>
      <c r="B5" s="54"/>
      <c r="C5" s="102">
        <v>13057999</v>
      </c>
      <c r="D5" s="102">
        <v>14699195</v>
      </c>
      <c r="E5" s="37"/>
      <c r="F5" s="102">
        <v>20370106</v>
      </c>
    </row>
    <row r="6" spans="1:8" s="59" customFormat="1" ht="12" customHeight="1" x14ac:dyDescent="0.25">
      <c r="A6" s="56" t="s">
        <v>36</v>
      </c>
      <c r="C6" s="78">
        <v>1837636</v>
      </c>
      <c r="D6" s="78">
        <v>2979103</v>
      </c>
      <c r="E6" s="56"/>
      <c r="F6" s="78">
        <v>3020394</v>
      </c>
    </row>
    <row r="7" spans="1:8" s="59" customFormat="1" ht="12" customHeight="1" x14ac:dyDescent="0.25">
      <c r="A7" s="37" t="s">
        <v>57</v>
      </c>
      <c r="B7" s="54"/>
      <c r="C7" s="84">
        <v>387152</v>
      </c>
      <c r="D7" s="84">
        <v>400000</v>
      </c>
      <c r="E7" s="37"/>
      <c r="F7" s="84">
        <v>400000</v>
      </c>
    </row>
    <row r="8" spans="1:8" s="59" customFormat="1" ht="12" customHeight="1" x14ac:dyDescent="0.25">
      <c r="A8" s="56" t="s">
        <v>37</v>
      </c>
      <c r="C8" s="78">
        <v>245655895</v>
      </c>
      <c r="D8" s="78">
        <v>260000000</v>
      </c>
      <c r="E8" s="56"/>
      <c r="F8" s="78">
        <v>228588775</v>
      </c>
    </row>
    <row r="9" spans="1:8" s="59" customFormat="1" ht="12" customHeight="1" x14ac:dyDescent="0.25">
      <c r="A9" s="37" t="s">
        <v>55</v>
      </c>
      <c r="B9" s="54"/>
      <c r="C9" s="84">
        <v>1234635</v>
      </c>
      <c r="D9" s="84">
        <v>1500000</v>
      </c>
      <c r="E9" s="37"/>
      <c r="F9" s="84">
        <v>1500000</v>
      </c>
    </row>
    <row r="10" spans="1:8" s="59" customFormat="1" ht="12" customHeight="1" x14ac:dyDescent="0.25">
      <c r="A10" s="56" t="s">
        <v>52</v>
      </c>
      <c r="C10" s="78">
        <v>0</v>
      </c>
      <c r="D10" s="78">
        <v>9027</v>
      </c>
      <c r="E10" s="56"/>
      <c r="F10" s="78">
        <v>9027</v>
      </c>
    </row>
    <row r="11" spans="1:8" s="59" customFormat="1" ht="12" customHeight="1" x14ac:dyDescent="0.25">
      <c r="A11" s="37" t="s">
        <v>38</v>
      </c>
      <c r="B11" s="54"/>
      <c r="C11" s="84">
        <v>0</v>
      </c>
      <c r="D11" s="84">
        <v>1</v>
      </c>
      <c r="E11" s="37"/>
      <c r="F11" s="84">
        <v>0</v>
      </c>
    </row>
    <row r="12" spans="1:8" s="56" customFormat="1" ht="12.95" customHeight="1" x14ac:dyDescent="0.2">
      <c r="A12" s="56" t="s">
        <v>39</v>
      </c>
      <c r="C12" s="78">
        <v>9633848</v>
      </c>
      <c r="D12" s="78">
        <v>14142630</v>
      </c>
      <c r="F12" s="78">
        <v>0</v>
      </c>
    </row>
    <row r="13" spans="1:8" s="55" customFormat="1" ht="12" customHeight="1" x14ac:dyDescent="0.25">
      <c r="A13" s="37" t="s">
        <v>40</v>
      </c>
      <c r="B13" s="54"/>
      <c r="C13" s="84">
        <v>17103090</v>
      </c>
      <c r="D13" s="84">
        <v>21583468</v>
      </c>
      <c r="E13" s="37"/>
      <c r="F13" s="84">
        <v>21083468</v>
      </c>
      <c r="G13" s="59"/>
      <c r="H13" s="59"/>
    </row>
    <row r="14" spans="1:8" ht="12" customHeight="1" x14ac:dyDescent="0.25">
      <c r="A14" s="6" t="s">
        <v>41</v>
      </c>
      <c r="C14" s="103">
        <v>32677913</v>
      </c>
      <c r="D14" s="103">
        <v>44000000</v>
      </c>
      <c r="E14" s="6"/>
      <c r="F14" s="103">
        <v>44000000</v>
      </c>
    </row>
    <row r="15" spans="1:8" s="59" customFormat="1" ht="12" customHeight="1" x14ac:dyDescent="0.25">
      <c r="A15" s="37" t="s">
        <v>56</v>
      </c>
      <c r="B15" s="54"/>
      <c r="C15" s="84">
        <v>2542435</v>
      </c>
      <c r="D15" s="84">
        <v>3500000</v>
      </c>
      <c r="E15" s="37"/>
      <c r="F15" s="84">
        <v>3500000</v>
      </c>
    </row>
    <row r="16" spans="1:8" s="56" customFormat="1" ht="12.95" customHeight="1" x14ac:dyDescent="0.2">
      <c r="A16" s="56" t="s">
        <v>42</v>
      </c>
      <c r="C16" s="78">
        <v>4339713</v>
      </c>
      <c r="D16" s="78">
        <v>5800000</v>
      </c>
      <c r="F16" s="78">
        <v>5800000</v>
      </c>
    </row>
    <row r="17" spans="1:6" s="59" customFormat="1" ht="12" customHeight="1" x14ac:dyDescent="0.25">
      <c r="A17" s="37" t="s">
        <v>58</v>
      </c>
      <c r="B17" s="54"/>
      <c r="C17" s="84">
        <v>13049778</v>
      </c>
      <c r="D17" s="84">
        <v>21000000</v>
      </c>
      <c r="E17" s="37"/>
      <c r="F17" s="84">
        <v>21000000</v>
      </c>
    </row>
    <row r="18" spans="1:6" s="59" customFormat="1" ht="12" customHeight="1" x14ac:dyDescent="0.25">
      <c r="A18" s="56" t="s">
        <v>43</v>
      </c>
      <c r="C18" s="78">
        <v>294090</v>
      </c>
      <c r="D18" s="78">
        <v>300000</v>
      </c>
      <c r="E18" s="56"/>
      <c r="F18" s="78">
        <v>300000</v>
      </c>
    </row>
    <row r="19" spans="1:6" s="59" customFormat="1" ht="12" customHeight="1" x14ac:dyDescent="0.25">
      <c r="A19" s="37" t="s">
        <v>44</v>
      </c>
      <c r="B19" s="54"/>
      <c r="C19" s="84">
        <v>9700</v>
      </c>
      <c r="D19" s="84">
        <v>1</v>
      </c>
      <c r="E19" s="37"/>
      <c r="F19" s="84">
        <v>0</v>
      </c>
    </row>
    <row r="20" spans="1:6" s="59" customFormat="1" ht="12" customHeight="1" x14ac:dyDescent="0.25">
      <c r="A20" s="56" t="s">
        <v>53</v>
      </c>
      <c r="C20" s="78">
        <v>21154</v>
      </c>
      <c r="D20" s="78">
        <v>40000</v>
      </c>
      <c r="E20" s="56"/>
      <c r="F20" s="78">
        <v>40000</v>
      </c>
    </row>
    <row r="21" spans="1:6" s="59" customFormat="1" ht="12" customHeight="1" x14ac:dyDescent="0.25">
      <c r="A21" s="37" t="s">
        <v>85</v>
      </c>
      <c r="B21" s="54"/>
      <c r="C21" s="84">
        <v>0</v>
      </c>
      <c r="D21" s="84">
        <v>0</v>
      </c>
      <c r="E21" s="37"/>
      <c r="F21" s="84">
        <v>1360000</v>
      </c>
    </row>
    <row r="22" spans="1:6" s="59" customFormat="1" ht="12" customHeight="1" x14ac:dyDescent="0.25">
      <c r="A22" s="56" t="s">
        <v>101</v>
      </c>
      <c r="C22" s="78"/>
      <c r="D22" s="78"/>
      <c r="E22" s="56"/>
      <c r="F22" s="78"/>
    </row>
    <row r="23" spans="1:6" s="59" customFormat="1" ht="12" customHeight="1" x14ac:dyDescent="0.25">
      <c r="A23" s="94" t="s">
        <v>91</v>
      </c>
      <c r="B23" s="54"/>
      <c r="C23" s="84">
        <v>0</v>
      </c>
      <c r="D23" s="84">
        <v>0</v>
      </c>
      <c r="E23" s="37"/>
      <c r="F23" s="84">
        <v>214969127</v>
      </c>
    </row>
    <row r="24" spans="1:6" s="59" customFormat="1" ht="12" customHeight="1" x14ac:dyDescent="0.25">
      <c r="A24" s="95" t="s">
        <v>90</v>
      </c>
      <c r="C24" s="78">
        <v>0</v>
      </c>
      <c r="D24" s="78">
        <v>0</v>
      </c>
      <c r="E24" s="56"/>
      <c r="F24" s="78">
        <v>31411225</v>
      </c>
    </row>
    <row r="25" spans="1:6" s="59" customFormat="1" ht="12" customHeight="1" x14ac:dyDescent="0.25">
      <c r="A25" s="94" t="s">
        <v>100</v>
      </c>
      <c r="B25" s="54"/>
      <c r="C25" s="84">
        <v>0</v>
      </c>
      <c r="D25" s="84">
        <v>0</v>
      </c>
      <c r="E25" s="37"/>
      <c r="F25" s="84">
        <v>27000000</v>
      </c>
    </row>
    <row r="26" spans="1:6" s="59" customFormat="1" ht="12" customHeight="1" x14ac:dyDescent="0.25">
      <c r="A26" s="96" t="s">
        <v>92</v>
      </c>
      <c r="C26" s="78">
        <v>0</v>
      </c>
      <c r="D26" s="78">
        <v>0</v>
      </c>
      <c r="E26" s="56"/>
      <c r="F26" s="78">
        <v>23118975</v>
      </c>
    </row>
    <row r="27" spans="1:6" s="59" customFormat="1" ht="12" customHeight="1" x14ac:dyDescent="0.25">
      <c r="A27" s="94" t="s">
        <v>99</v>
      </c>
      <c r="B27" s="54"/>
      <c r="C27" s="84">
        <v>0</v>
      </c>
      <c r="D27" s="84">
        <v>0</v>
      </c>
      <c r="E27" s="37"/>
      <c r="F27" s="84">
        <v>8345500</v>
      </c>
    </row>
    <row r="28" spans="1:6" s="95" customFormat="1" ht="12.95" customHeight="1" x14ac:dyDescent="0.2">
      <c r="A28" s="95" t="s">
        <v>39</v>
      </c>
      <c r="C28" s="113">
        <v>0</v>
      </c>
      <c r="D28" s="113">
        <v>0</v>
      </c>
      <c r="F28" s="113">
        <v>12017913</v>
      </c>
    </row>
    <row r="29" spans="1:6" s="59" customFormat="1" ht="12" customHeight="1" x14ac:dyDescent="0.25">
      <c r="A29" s="94" t="s">
        <v>93</v>
      </c>
      <c r="B29" s="54"/>
      <c r="C29" s="84">
        <v>0</v>
      </c>
      <c r="D29" s="84">
        <v>0</v>
      </c>
      <c r="E29" s="37"/>
      <c r="F29" s="84">
        <v>60312710</v>
      </c>
    </row>
    <row r="30" spans="1:6" s="59" customFormat="1" ht="12" customHeight="1" x14ac:dyDescent="0.25">
      <c r="A30" s="95" t="s">
        <v>94</v>
      </c>
      <c r="C30" s="78">
        <v>0</v>
      </c>
      <c r="D30" s="78">
        <v>0</v>
      </c>
      <c r="E30" s="56"/>
      <c r="F30" s="78">
        <v>21577278</v>
      </c>
    </row>
    <row r="31" spans="1:6" s="59" customFormat="1" ht="12" customHeight="1" x14ac:dyDescent="0.25">
      <c r="A31" s="94" t="s">
        <v>95</v>
      </c>
      <c r="B31" s="54"/>
      <c r="C31" s="84">
        <v>0</v>
      </c>
      <c r="D31" s="84">
        <v>0</v>
      </c>
      <c r="E31" s="37"/>
      <c r="F31" s="84">
        <v>4551508</v>
      </c>
    </row>
    <row r="32" spans="1:6" s="59" customFormat="1" ht="12" customHeight="1" x14ac:dyDescent="0.25">
      <c r="A32" s="95" t="s">
        <v>98</v>
      </c>
      <c r="C32" s="78">
        <v>0</v>
      </c>
      <c r="D32" s="78">
        <v>0</v>
      </c>
      <c r="E32" s="56"/>
      <c r="F32" s="78">
        <v>257215310</v>
      </c>
    </row>
    <row r="33" spans="1:7" s="59" customFormat="1" ht="12" customHeight="1" x14ac:dyDescent="0.25">
      <c r="A33" s="94" t="s">
        <v>96</v>
      </c>
      <c r="B33" s="54"/>
      <c r="C33" s="84">
        <v>0</v>
      </c>
      <c r="D33" s="84">
        <v>0</v>
      </c>
      <c r="E33" s="37"/>
      <c r="F33" s="84">
        <v>652074</v>
      </c>
    </row>
    <row r="34" spans="1:7" s="59" customFormat="1" ht="12" customHeight="1" x14ac:dyDescent="0.25">
      <c r="A34" s="95" t="s">
        <v>97</v>
      </c>
      <c r="C34" s="78">
        <v>0</v>
      </c>
      <c r="D34" s="78">
        <v>0</v>
      </c>
      <c r="E34" s="56"/>
      <c r="F34" s="78">
        <v>436675</v>
      </c>
    </row>
    <row r="35" spans="1:7" s="59" customFormat="1" ht="12" customHeight="1" x14ac:dyDescent="0.25">
      <c r="A35" s="37" t="s">
        <v>45</v>
      </c>
      <c r="B35" s="54"/>
      <c r="C35" s="84">
        <v>108898166</v>
      </c>
      <c r="D35" s="84">
        <v>132413095</v>
      </c>
      <c r="E35" s="37"/>
      <c r="F35" s="84">
        <v>134254527</v>
      </c>
    </row>
    <row r="36" spans="1:7" s="59" customFormat="1" ht="12" customHeight="1" x14ac:dyDescent="0.25">
      <c r="A36" s="83" t="s">
        <v>46</v>
      </c>
      <c r="C36" s="78">
        <v>53554295</v>
      </c>
      <c r="D36" s="78">
        <v>59686301</v>
      </c>
      <c r="E36" s="108"/>
      <c r="F36" s="78">
        <v>38109023</v>
      </c>
    </row>
    <row r="37" spans="1:7" s="59" customFormat="1" ht="12" customHeight="1" x14ac:dyDescent="0.25">
      <c r="A37" s="37" t="s">
        <v>47</v>
      </c>
      <c r="B37" s="54"/>
      <c r="C37" s="84">
        <v>373688759</v>
      </c>
      <c r="D37" s="84">
        <v>396746366</v>
      </c>
      <c r="E37" s="37"/>
      <c r="F37" s="84">
        <v>309433656</v>
      </c>
    </row>
    <row r="38" spans="1:7" s="59" customFormat="1" ht="12" customHeight="1" x14ac:dyDescent="0.25">
      <c r="A38" s="83" t="s">
        <v>66</v>
      </c>
      <c r="C38" s="78">
        <v>250645</v>
      </c>
      <c r="D38" s="78">
        <v>283148</v>
      </c>
      <c r="E38" s="108"/>
      <c r="F38" s="78">
        <v>283148</v>
      </c>
    </row>
    <row r="39" spans="1:7" s="59" customFormat="1" ht="12" customHeight="1" x14ac:dyDescent="0.25">
      <c r="A39" s="37" t="s">
        <v>86</v>
      </c>
      <c r="B39" s="54"/>
      <c r="C39" s="84">
        <v>0</v>
      </c>
      <c r="D39" s="84">
        <v>0</v>
      </c>
      <c r="E39" s="37"/>
      <c r="F39" s="84">
        <v>4299130</v>
      </c>
    </row>
    <row r="40" spans="1:7" s="59" customFormat="1" ht="12" customHeight="1" x14ac:dyDescent="0.25">
      <c r="A40" s="56" t="s">
        <v>67</v>
      </c>
      <c r="C40" s="78">
        <v>252709</v>
      </c>
      <c r="D40" s="78">
        <v>0</v>
      </c>
      <c r="E40" s="56"/>
      <c r="F40" s="78">
        <v>0</v>
      </c>
    </row>
    <row r="41" spans="1:7" s="59" customFormat="1" ht="13.5" customHeight="1" x14ac:dyDescent="0.25">
      <c r="A41" s="37" t="s">
        <v>87</v>
      </c>
      <c r="B41" s="54"/>
      <c r="C41" s="106">
        <v>0</v>
      </c>
      <c r="D41" s="106">
        <v>250000</v>
      </c>
      <c r="E41" s="37"/>
      <c r="F41" s="106">
        <v>250000</v>
      </c>
    </row>
    <row r="42" spans="1:7" ht="12" customHeight="1" x14ac:dyDescent="0.25">
      <c r="A42" s="79" t="s">
        <v>28</v>
      </c>
      <c r="B42" s="79"/>
      <c r="C42" s="80">
        <f>SUM(C5:C41)</f>
        <v>878489612</v>
      </c>
      <c r="D42" s="80">
        <f>SUM(D5:D41)</f>
        <v>979332335</v>
      </c>
      <c r="E42" s="80">
        <f t="shared" ref="E42:F42" si="0">SUM(E5:E41)</f>
        <v>0</v>
      </c>
      <c r="F42" s="80">
        <f t="shared" si="0"/>
        <v>1499209549</v>
      </c>
    </row>
    <row r="43" spans="1:7" s="59" customFormat="1" ht="12" customHeight="1" x14ac:dyDescent="0.25">
      <c r="A43" s="42" t="s">
        <v>6</v>
      </c>
      <c r="B43" s="53"/>
      <c r="C43" s="84">
        <v>136055292</v>
      </c>
      <c r="D43" s="84">
        <v>142341036</v>
      </c>
      <c r="E43" s="84"/>
      <c r="F43" s="84">
        <v>381248743</v>
      </c>
    </row>
    <row r="44" spans="1:7" s="59" customFormat="1" ht="12" customHeight="1" x14ac:dyDescent="0.25">
      <c r="A44" s="71" t="s">
        <v>7</v>
      </c>
      <c r="B44" s="72"/>
      <c r="C44" s="78">
        <f>89517496+610786506</f>
        <v>700304002</v>
      </c>
      <c r="D44" s="78">
        <f>112646297+677040344</f>
        <v>789686641</v>
      </c>
      <c r="E44" s="78"/>
      <c r="F44" s="78">
        <f>1022091059</f>
        <v>1022091059</v>
      </c>
    </row>
    <row r="45" spans="1:7" s="59" customFormat="1" ht="12" customHeight="1" x14ac:dyDescent="0.25">
      <c r="A45" s="42" t="s">
        <v>8</v>
      </c>
      <c r="B45" s="53"/>
      <c r="C45" s="84">
        <f>213028+30220020+0+1837636+7522175+2337459</f>
        <v>42130318</v>
      </c>
      <c r="D45" s="84">
        <f>390556+30301255+9027+2979103+11500000+2124717</f>
        <v>47304658</v>
      </c>
      <c r="E45" s="84"/>
      <c r="F45" s="84">
        <v>95869747</v>
      </c>
    </row>
    <row r="46" spans="1:7" ht="12" customHeight="1" thickBot="1" x14ac:dyDescent="0.3">
      <c r="C46" s="7"/>
      <c r="D46" s="7"/>
      <c r="E46" s="7"/>
      <c r="F46" s="7"/>
    </row>
    <row r="47" spans="1:7" ht="12" customHeight="1" thickBot="1" x14ac:dyDescent="0.3">
      <c r="A47" s="46" t="s">
        <v>5</v>
      </c>
      <c r="B47" s="47"/>
      <c r="C47" s="70">
        <f>196.52+641.48+11.75</f>
        <v>849.75</v>
      </c>
      <c r="D47" s="70">
        <f>213.91+659.2+11.75</f>
        <v>884.86</v>
      </c>
      <c r="E47" s="49"/>
      <c r="F47" s="70">
        <f>335.06+659.2+12.75</f>
        <v>1007.01</v>
      </c>
      <c r="G47" s="50"/>
    </row>
    <row r="50" spans="1:6" x14ac:dyDescent="0.25">
      <c r="A50" s="13" t="s">
        <v>9</v>
      </c>
      <c r="B50" s="18"/>
      <c r="C50" s="14">
        <f>C42-SUM(C43:C45)</f>
        <v>0</v>
      </c>
      <c r="D50" s="14">
        <f>D42-SUM(D43:D45)</f>
        <v>0</v>
      </c>
      <c r="F50" s="14">
        <f>F42-SUM(F43:F45)</f>
        <v>0</v>
      </c>
    </row>
  </sheetData>
  <sheetProtection formatCells="0" insertRows="0" selectLockedCells="1"/>
  <protectedRanges>
    <protectedRange password="CA89" sqref="A4:G4 E37 E47 G47 A45:A47 B45:G46 A48:G51 B47 E39 A42:G44 A27 B5:B41 G5:G41" name="Range1" securityDescriptor="O:WDG:WDD:(A;;CC;;;S-1-5-21-3219648850-738124763-203175933-17295)(A;;CC;;;S-1-5-21-3219648850-738124763-203175933-17298)(A;;CC;;;S-1-5-21-3219648850-738124763-203175933-17299)"/>
    <protectedRange password="CA89" sqref="A28:A41 A5:A26" name="Range1_1" securityDescriptor="O:WDG:WDD:(A;;CC;;;S-1-5-21-3219648850-738124763-203175933-17295)(A;;CC;;;S-1-5-21-3219648850-738124763-203175933-17298)(A;;CC;;;S-1-5-21-3219648850-738124763-203175933-17299)"/>
    <protectedRange password="CA89" sqref="E5" name="Range1_2" securityDescriptor="O:WDG:WDD:(A;;CC;;;S-1-5-21-3219648850-738124763-203175933-17295)(A;;CC;;;S-1-5-21-3219648850-738124763-203175933-17298)(A;;CC;;;S-1-5-21-3219648850-738124763-203175933-17299)"/>
    <protectedRange password="CA89" sqref="C5:D5" name="Range1_6" securityDescriptor="O:WDG:WDD:(A;;CC;;;S-1-5-21-3219648850-738124763-203175933-17295)(A;;CC;;;S-1-5-21-3219648850-738124763-203175933-17298)(A;;CC;;;S-1-5-21-3219648850-738124763-203175933-17299)"/>
    <protectedRange password="CA89" sqref="F5" name="Range1_7" securityDescriptor="O:WDG:WDD:(A;;CC;;;S-1-5-21-3219648850-738124763-203175933-17295)(A;;CC;;;S-1-5-21-3219648850-738124763-203175933-17298)(A;;CC;;;S-1-5-21-3219648850-738124763-203175933-17299)"/>
    <protectedRange password="CA89" sqref="C37:D37 C39:D39" name="Range1_8" securityDescriptor="O:WDG:WDD:(A;;CC;;;S-1-5-21-3219648850-738124763-203175933-17295)(A;;CC;;;S-1-5-21-3219648850-738124763-203175933-17298)(A;;CC;;;S-1-5-21-3219648850-738124763-203175933-17299)"/>
    <protectedRange password="CA89" sqref="F15 C6:F14 C38:F38 F39 C40:F41 F17:F37 C15:E36" name="Range1_10" securityDescriptor="O:WDG:WDD:(A;;CC;;;S-1-5-21-3219648850-738124763-203175933-17295)(A;;CC;;;S-1-5-21-3219648850-738124763-203175933-17298)(A;;CC;;;S-1-5-21-3219648850-738124763-203175933-17299)"/>
    <protectedRange password="CA89" sqref="F47 C47:D47" name="Range1_14" securityDescriptor="O:WDG:WDD:(A;;CC;;;S-1-5-21-3219648850-738124763-203175933-17295)(A;;CC;;;S-1-5-21-3219648850-738124763-203175933-17298)(A;;CC;;;S-1-5-21-3219648850-738124763-203175933-17299)"/>
    <protectedRange password="CA89" sqref="A1:B3 G1:G3" name="Range1_3" securityDescriptor="O:WDG:WDD:(A;;CC;;;S-1-5-21-3219648850-738124763-203175933-17295)(A;;CC;;;S-1-5-21-3219648850-738124763-203175933-17298)(A;;CC;;;S-1-5-21-3219648850-738124763-203175933-17299)"/>
    <protectedRange password="CA89" sqref="C1:F3" name="Range1_5" securityDescriptor="O:WDG:WDD:(A;;CC;;;S-1-5-21-3219648850-738124763-203175933-17295)(A;;CC;;;S-1-5-21-3219648850-738124763-203175933-17298)(A;;CC;;;S-1-5-21-3219648850-738124763-203175933-17299)"/>
  </protectedRanges>
  <conditionalFormatting sqref="G16:XFD22 F17:F22 H1:XFD3 A4:XFD15 A15:A20 A46:XFD1048576 A16:E22 A23:XFD40 A41:B41 G41:XFD45 E41">
    <cfRule type="expression" priority="30" stopIfTrue="1">
      <formula>CELL("protect",A1)=1</formula>
    </cfRule>
    <cfRule type="expression" dxfId="34" priority="31">
      <formula>CELL("protect",A1)=1</formula>
    </cfRule>
  </conditionalFormatting>
  <conditionalFormatting sqref="C50:F50">
    <cfRule type="cellIs" dxfId="33" priority="27" operator="lessThan">
      <formula>0</formula>
    </cfRule>
    <cfRule type="cellIs" dxfId="32" priority="29" operator="greaterThan">
      <formula>0</formula>
    </cfRule>
  </conditionalFormatting>
  <conditionalFormatting sqref="F16">
    <cfRule type="expression" priority="25" stopIfTrue="1">
      <formula>CELL("protect",F16)=1</formula>
    </cfRule>
    <cfRule type="expression" dxfId="31" priority="26">
      <formula>CELL("protect",F16)=1</formula>
    </cfRule>
  </conditionalFormatting>
  <conditionalFormatting sqref="A1:B3 G1:G3">
    <cfRule type="expression" priority="23" stopIfTrue="1">
      <formula>CELL("protect",A1)=1</formula>
    </cfRule>
    <cfRule type="expression" dxfId="30" priority="24">
      <formula>CELL("protect",A1)=1</formula>
    </cfRule>
  </conditionalFormatting>
  <conditionalFormatting sqref="C1:F3">
    <cfRule type="expression" priority="21" stopIfTrue="1">
      <formula>CELL("protect",C1)=1</formula>
    </cfRule>
    <cfRule type="expression" dxfId="29" priority="22">
      <formula>CELL("protect",C1)=1</formula>
    </cfRule>
  </conditionalFormatting>
  <conditionalFormatting sqref="A44:F44">
    <cfRule type="expression" priority="17" stopIfTrue="1">
      <formula>CELL("protect",A44)=1</formula>
    </cfRule>
    <cfRule type="expression" dxfId="28" priority="18">
      <formula>CELL("protect",A44)=1</formula>
    </cfRule>
  </conditionalFormatting>
  <conditionalFormatting sqref="A42:F43 A45:F45">
    <cfRule type="expression" priority="19" stopIfTrue="1">
      <formula>CELL("protect",A42)=1</formula>
    </cfRule>
    <cfRule type="expression" dxfId="27" priority="20">
      <formula>CELL("protect",A42)=1</formula>
    </cfRule>
  </conditionalFormatting>
  <conditionalFormatting sqref="A43:F43">
    <cfRule type="expression" priority="11" stopIfTrue="1">
      <formula>CELL("protect",A43)=1</formula>
    </cfRule>
    <cfRule type="expression" dxfId="26" priority="12">
      <formula>CELL("protect",A43)=1</formula>
    </cfRule>
  </conditionalFormatting>
  <conditionalFormatting sqref="A44:F44">
    <cfRule type="expression" priority="9" stopIfTrue="1">
      <formula>CELL("protect",A44)=1</formula>
    </cfRule>
  </conditionalFormatting>
  <conditionalFormatting sqref="A44:F44">
    <cfRule type="expression" dxfId="25" priority="10">
      <formula>CELL("protect",A44)=1</formula>
    </cfRule>
  </conditionalFormatting>
  <conditionalFormatting sqref="A45:F45">
    <cfRule type="expression" priority="7" stopIfTrue="1">
      <formula>CELL("protect",A45)=1</formula>
    </cfRule>
    <cfRule type="expression" dxfId="24" priority="8">
      <formula>CELL("protect",A45)=1</formula>
    </cfRule>
  </conditionalFormatting>
  <conditionalFormatting sqref="F41">
    <cfRule type="expression" priority="5" stopIfTrue="1">
      <formula>CELL("protect",F41)=1</formula>
    </cfRule>
    <cfRule type="expression" dxfId="23" priority="6">
      <formula>CELL("protect",F41)=1</formula>
    </cfRule>
  </conditionalFormatting>
  <conditionalFormatting sqref="D41">
    <cfRule type="expression" priority="3" stopIfTrue="1">
      <formula>CELL("protect",D41)=1</formula>
    </cfRule>
    <cfRule type="expression" dxfId="22" priority="4">
      <formula>CELL("protect",D41)=1</formula>
    </cfRule>
  </conditionalFormatting>
  <conditionalFormatting sqref="C41">
    <cfRule type="expression" priority="1" stopIfTrue="1">
      <formula>CELL("protect",C41)=1</formula>
    </cfRule>
    <cfRule type="expression" dxfId="21" priority="2">
      <formula>CELL("protect",C41)=1</formula>
    </cfRule>
  </conditionalFormatting>
  <pageMargins left="0.7" right="0.7" top="0.75" bottom="0.75" header="0.3" footer="0.3"/>
  <pageSetup scale="80" orientation="portrait" blackAndWhite="1" r:id="rId1"/>
  <ignoredErrors>
    <ignoredError sqref="F44 C44:D44 F47 C47:D47 C45:D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80</v>
      </c>
      <c r="G1" s="25"/>
    </row>
    <row r="2" spans="1:7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/>
    <row r="5" spans="1:7" ht="12" customHeight="1" x14ac:dyDescent="0.25">
      <c r="A5" s="37" t="s">
        <v>22</v>
      </c>
      <c r="B5" s="37"/>
      <c r="C5" s="102">
        <v>46309856</v>
      </c>
      <c r="D5" s="102">
        <v>55281526</v>
      </c>
      <c r="E5" s="109"/>
      <c r="F5" s="102">
        <v>55564085</v>
      </c>
    </row>
    <row r="6" spans="1:7" ht="12" customHeight="1" x14ac:dyDescent="0.25">
      <c r="A6" s="6" t="s">
        <v>71</v>
      </c>
      <c r="B6" s="6"/>
      <c r="C6" s="103">
        <v>1554</v>
      </c>
      <c r="D6" s="103">
        <v>49500</v>
      </c>
      <c r="E6" s="6"/>
      <c r="F6" s="103">
        <v>49500</v>
      </c>
    </row>
    <row r="7" spans="1:7" ht="12" customHeight="1" x14ac:dyDescent="0.25">
      <c r="A7" s="37" t="s">
        <v>72</v>
      </c>
      <c r="B7" s="37"/>
      <c r="C7" s="84">
        <v>830790</v>
      </c>
      <c r="D7" s="84">
        <v>1500000</v>
      </c>
      <c r="E7" s="37"/>
      <c r="F7" s="84">
        <v>1500000</v>
      </c>
    </row>
    <row r="8" spans="1:7" ht="13.5" customHeight="1" x14ac:dyDescent="0.25">
      <c r="A8" s="6" t="s">
        <v>48</v>
      </c>
      <c r="B8" s="6"/>
      <c r="C8" s="87">
        <v>19000</v>
      </c>
      <c r="D8" s="88">
        <v>200000</v>
      </c>
      <c r="E8" s="17"/>
      <c r="F8" s="87">
        <v>200000</v>
      </c>
    </row>
    <row r="9" spans="1:7" ht="12" customHeight="1" x14ac:dyDescent="0.25">
      <c r="A9" s="41" t="s">
        <v>28</v>
      </c>
      <c r="B9" s="41"/>
      <c r="C9" s="110">
        <f>SUM(C5:C8)</f>
        <v>47161200</v>
      </c>
      <c r="D9" s="110">
        <f>SUM(D5:D8)</f>
        <v>57031026</v>
      </c>
      <c r="E9" s="41"/>
      <c r="F9" s="110">
        <f>SUM(F5:F8)</f>
        <v>57313585</v>
      </c>
    </row>
    <row r="10" spans="1:7" ht="12" customHeight="1" x14ac:dyDescent="0.25">
      <c r="A10" s="71" t="s">
        <v>6</v>
      </c>
      <c r="B10" s="72"/>
      <c r="C10" s="78">
        <v>43720488</v>
      </c>
      <c r="D10" s="78">
        <v>45641706</v>
      </c>
      <c r="E10" s="78"/>
      <c r="F10" s="78">
        <v>45916674</v>
      </c>
    </row>
    <row r="11" spans="1:7" ht="12" customHeight="1" x14ac:dyDescent="0.25">
      <c r="A11" s="42" t="s">
        <v>7</v>
      </c>
      <c r="B11" s="53"/>
      <c r="C11" s="84">
        <v>1244344</v>
      </c>
      <c r="D11" s="84">
        <v>7763465</v>
      </c>
      <c r="E11" s="84"/>
      <c r="F11" s="84">
        <v>7771056</v>
      </c>
    </row>
    <row r="12" spans="1:7" ht="12" customHeight="1" x14ac:dyDescent="0.25">
      <c r="A12" s="92" t="s">
        <v>8</v>
      </c>
      <c r="B12" s="93"/>
      <c r="C12" s="111">
        <f>1345024+19000+830790+1554</f>
        <v>2196368</v>
      </c>
      <c r="D12" s="111">
        <f>1876355+200000+1500000+49500</f>
        <v>3625855</v>
      </c>
      <c r="E12" s="111"/>
      <c r="F12" s="111">
        <v>3625855</v>
      </c>
    </row>
    <row r="13" spans="1:7" ht="12" customHeight="1" thickBot="1" x14ac:dyDescent="0.3">
      <c r="C13" s="7"/>
      <c r="D13" s="7"/>
      <c r="E13" s="7"/>
      <c r="F13" s="7"/>
    </row>
    <row r="14" spans="1:7" ht="12" customHeight="1" thickBot="1" x14ac:dyDescent="0.3">
      <c r="A14" s="46" t="s">
        <v>5</v>
      </c>
      <c r="B14" s="47"/>
      <c r="C14" s="70">
        <v>619.4</v>
      </c>
      <c r="D14" s="70">
        <v>672.92</v>
      </c>
      <c r="E14" s="70"/>
      <c r="F14" s="70">
        <v>667.92</v>
      </c>
      <c r="G14" s="50"/>
    </row>
    <row r="17" spans="1:6" x14ac:dyDescent="0.25">
      <c r="A17" s="13" t="s">
        <v>9</v>
      </c>
      <c r="B17" s="18"/>
      <c r="C17" s="14">
        <f>C9-SUM(C10:C12)</f>
        <v>0</v>
      </c>
      <c r="D17" s="14">
        <f>D9-SUM(D10:D12)</f>
        <v>0</v>
      </c>
      <c r="F17" s="14">
        <f>F9-SUM(F10:F12)</f>
        <v>0</v>
      </c>
    </row>
  </sheetData>
  <sheetProtection formatCells="0" insertRows="0" selectLockedCells="1"/>
  <protectedRanges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8" name="Range1_3" securityDescriptor="O:WDG:WDD:(A;;CC;;;S-1-5-21-3219648850-738124763-203175933-17295)(A;;CC;;;S-1-5-21-3219648850-738124763-203175933-17298)(A;;CC;;;S-1-5-21-3219648850-738124763-203175933-17299)"/>
    <protectedRange password="CA89" sqref="F8" name="Range1_4" securityDescriptor="O:WDG:WDD:(A;;CC;;;S-1-5-21-3219648850-738124763-203175933-17295)(A;;CC;;;S-1-5-21-3219648850-738124763-203175933-17298)(A;;CC;;;S-1-5-21-3219648850-738124763-203175933-17299)"/>
    <protectedRange password="CA89" sqref="C6:F7" name="Range1_5" securityDescriptor="O:WDG:WDD:(A;;CC;;;S-1-5-21-3219648850-738124763-203175933-17295)(A;;CC;;;S-1-5-21-3219648850-738124763-203175933-17298)(A;;CC;;;S-1-5-21-3219648850-738124763-203175933-17299)"/>
    <protectedRange password="CA89" sqref="C14:F14" name="Range1_12" securityDescriptor="O:WDG:WDD:(A;;CC;;;S-1-5-21-3219648850-738124763-203175933-17295)(A;;CC;;;S-1-5-21-3219648850-738124763-203175933-17298)(A;;CC;;;S-1-5-21-3219648850-738124763-203175933-17299)"/>
    <protectedRange password="CA89" sqref="A1:B3 G1:G3" name="Range1" securityDescriptor="O:WDG:WDD:(A;;CC;;;S-1-5-21-3219648850-738124763-203175933-17295)(A;;CC;;;S-1-5-21-3219648850-738124763-203175933-17298)(A;;CC;;;S-1-5-21-3219648850-738124763-203175933-17299)"/>
    <protectedRange password="CA89" sqref="C1:F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8" stopIfTrue="1">
      <formula>CELL("protect",A1)=1</formula>
    </cfRule>
    <cfRule type="expression" dxfId="20" priority="9">
      <formula>CELL("protect",A1)=1</formula>
    </cfRule>
  </conditionalFormatting>
  <conditionalFormatting sqref="C17:F17">
    <cfRule type="cellIs" dxfId="19" priority="5" operator="lessThan">
      <formula>0</formula>
    </cfRule>
    <cfRule type="cellIs" dxfId="18" priority="7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17" priority="4">
      <formula>CELL("protect",A1)=1</formula>
    </cfRule>
  </conditionalFormatting>
  <conditionalFormatting sqref="C1:F3">
    <cfRule type="expression" priority="1" stopIfTrue="1">
      <formula>CELL("protect",C1)=1</formula>
    </cfRule>
    <cfRule type="expression" dxfId="16" priority="2">
      <formula>CELL("protect",C1)=1</formula>
    </cfRule>
  </conditionalFormatting>
  <pageMargins left="0.7" right="0.7" top="0.75" bottom="0.75" header="0.3" footer="0.3"/>
  <pageSetup scale="80" orientation="portrait" blackAndWhite="1" r:id="rId1"/>
  <ignoredErrors>
    <ignoredError sqref="C12:D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80</v>
      </c>
      <c r="G1" s="25"/>
    </row>
    <row r="2" spans="1:7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>
      <c r="C4" s="6"/>
      <c r="D4" s="6"/>
      <c r="E4" s="6"/>
      <c r="F4" s="6"/>
    </row>
    <row r="5" spans="1:7" ht="15" customHeight="1" x14ac:dyDescent="0.25">
      <c r="A5" s="6" t="s">
        <v>59</v>
      </c>
      <c r="B5" s="6"/>
      <c r="C5" s="16"/>
      <c r="D5" s="16"/>
      <c r="E5" s="17"/>
      <c r="F5" s="16"/>
    </row>
    <row r="6" spans="1:7" ht="12" customHeight="1" x14ac:dyDescent="0.25">
      <c r="A6" s="41" t="s">
        <v>28</v>
      </c>
      <c r="B6" s="41"/>
      <c r="C6" s="112">
        <v>490256</v>
      </c>
      <c r="D6" s="112">
        <v>3583085</v>
      </c>
      <c r="E6" s="112"/>
      <c r="F6" s="112">
        <v>3585859</v>
      </c>
    </row>
    <row r="7" spans="1:7" ht="12" customHeight="1" x14ac:dyDescent="0.25">
      <c r="A7" s="71" t="s">
        <v>6</v>
      </c>
      <c r="B7" s="72"/>
      <c r="C7" s="78">
        <v>257438</v>
      </c>
      <c r="D7" s="78">
        <v>0</v>
      </c>
      <c r="E7" s="78"/>
      <c r="F7" s="78">
        <v>0</v>
      </c>
    </row>
    <row r="8" spans="1:7" ht="12" customHeight="1" x14ac:dyDescent="0.25">
      <c r="A8" s="42" t="s">
        <v>7</v>
      </c>
      <c r="B8" s="53"/>
      <c r="C8" s="84">
        <v>0</v>
      </c>
      <c r="D8" s="84">
        <v>500000</v>
      </c>
      <c r="E8" s="84"/>
      <c r="F8" s="84">
        <v>500000</v>
      </c>
    </row>
    <row r="9" spans="1:7" s="55" customFormat="1" ht="12" customHeight="1" x14ac:dyDescent="0.25">
      <c r="A9" s="92" t="s">
        <v>8</v>
      </c>
      <c r="B9" s="93"/>
      <c r="C9" s="111">
        <v>232818</v>
      </c>
      <c r="D9" s="111">
        <f>1083085+2000000</f>
        <v>3083085</v>
      </c>
      <c r="E9" s="111"/>
      <c r="F9" s="111">
        <v>3085859</v>
      </c>
    </row>
    <row r="10" spans="1:7" ht="12" customHeight="1" thickBot="1" x14ac:dyDescent="0.3">
      <c r="C10" s="6"/>
      <c r="D10" s="6"/>
      <c r="E10" s="6"/>
      <c r="F10" s="6"/>
    </row>
    <row r="11" spans="1:7" ht="12" customHeight="1" thickBot="1" x14ac:dyDescent="0.3">
      <c r="A11" s="46" t="s">
        <v>5</v>
      </c>
      <c r="B11" s="47"/>
      <c r="C11" s="70">
        <v>2</v>
      </c>
      <c r="D11" s="70">
        <v>3</v>
      </c>
      <c r="E11" s="70"/>
      <c r="F11" s="70">
        <v>3</v>
      </c>
      <c r="G11" s="73"/>
    </row>
    <row r="14" spans="1:7" x14ac:dyDescent="0.25">
      <c r="A14" s="13" t="s">
        <v>9</v>
      </c>
      <c r="B14" s="18"/>
      <c r="C14" s="14">
        <f>C6-SUM(C7:C9)</f>
        <v>0</v>
      </c>
      <c r="D14" s="14">
        <f>D6-SUM(D7:D9)</f>
        <v>0</v>
      </c>
      <c r="F14" s="14">
        <f>F6-SUM(F7:F9)</f>
        <v>0</v>
      </c>
    </row>
  </sheetData>
  <sheetProtection formatCells="0" insertRows="0" selectLockedCells="1"/>
  <protectedRanges>
    <protectedRange password="CA89" sqref="C6:F6" name="Range1_2" securityDescriptor="O:WDG:WDD:(A;;CC;;;S-1-5-21-3219648850-738124763-203175933-17295)(A;;CC;;;S-1-5-21-3219648850-738124763-203175933-17298)(A;;CC;;;S-1-5-21-3219648850-738124763-203175933-17299)"/>
    <protectedRange password="CA89" sqref="A1:B3 G1:G3" name="Range1" securityDescriptor="O:WDG:WDD:(A;;CC;;;S-1-5-21-3219648850-738124763-203175933-17295)(A;;CC;;;S-1-5-21-3219648850-738124763-203175933-17298)(A;;CC;;;S-1-5-21-3219648850-738124763-203175933-17299)"/>
    <protectedRange password="CA89" sqref="C1:F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9" stopIfTrue="1">
      <formula>CELL("protect",A1)=1</formula>
    </cfRule>
    <cfRule type="expression" dxfId="15" priority="10">
      <formula>CELL("protect",A1)=1</formula>
    </cfRule>
  </conditionalFormatting>
  <conditionalFormatting sqref="C14:F14">
    <cfRule type="cellIs" dxfId="14" priority="7" operator="lessThan">
      <formula>0</formula>
    </cfRule>
    <cfRule type="cellIs" dxfId="13" priority="8" operator="greaterThan">
      <formula>0</formula>
    </cfRule>
  </conditionalFormatting>
  <conditionalFormatting sqref="A1:B3 G1:G3">
    <cfRule type="expression" priority="5" stopIfTrue="1">
      <formula>CELL("protect",A1)=1</formula>
    </cfRule>
    <cfRule type="expression" dxfId="12" priority="6">
      <formula>CELL("protect",A1)=1</formula>
    </cfRule>
  </conditionalFormatting>
  <conditionalFormatting sqref="C1:F3">
    <cfRule type="expression" priority="3" stopIfTrue="1">
      <formula>CELL("protect",C1)=1</formula>
    </cfRule>
    <cfRule type="expression" dxfId="11" priority="4">
      <formula>CELL("protect",C1)=1</formula>
    </cfRule>
  </conditionalFormatting>
  <pageMargins left="0.7" right="0.7" top="0.75" bottom="0.75" header="0.3" footer="0.3"/>
  <pageSetup scale="80" orientation="portrait" blackAndWhite="1" r:id="rId1"/>
  <ignoredErrors>
    <ignoredError sqref="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80</v>
      </c>
      <c r="G1" s="25"/>
    </row>
    <row r="2" spans="1:7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6" t="s">
        <v>23</v>
      </c>
      <c r="B5" s="6"/>
      <c r="C5" s="89"/>
      <c r="D5" s="89"/>
      <c r="E5" s="17"/>
      <c r="F5" s="89"/>
    </row>
    <row r="6" spans="1:7" ht="12" customHeight="1" x14ac:dyDescent="0.25">
      <c r="A6" s="41" t="s">
        <v>28</v>
      </c>
      <c r="B6" s="41"/>
      <c r="C6" s="112">
        <v>766611</v>
      </c>
      <c r="D6" s="112">
        <f>1107867+100000+100000</f>
        <v>1307867</v>
      </c>
      <c r="E6" s="41"/>
      <c r="F6" s="112">
        <f>1081646+100000+100000</f>
        <v>1281646</v>
      </c>
    </row>
    <row r="7" spans="1:7" ht="12" customHeight="1" x14ac:dyDescent="0.25">
      <c r="A7" s="71" t="s">
        <v>6</v>
      </c>
      <c r="B7" s="72"/>
      <c r="C7" s="78">
        <v>701948</v>
      </c>
      <c r="D7" s="78">
        <v>902975</v>
      </c>
      <c r="E7" s="78"/>
      <c r="F7" s="78">
        <v>876399</v>
      </c>
    </row>
    <row r="8" spans="1:7" ht="12" customHeight="1" x14ac:dyDescent="0.25">
      <c r="A8" s="42" t="s">
        <v>8</v>
      </c>
      <c r="B8" s="53"/>
      <c r="C8" s="84">
        <v>64663</v>
      </c>
      <c r="D8" s="84">
        <f>150421+100000+154471</f>
        <v>404892</v>
      </c>
      <c r="E8" s="84"/>
      <c r="F8" s="84">
        <v>405247</v>
      </c>
    </row>
    <row r="9" spans="1:7" ht="12" customHeight="1" thickBot="1" x14ac:dyDescent="0.3">
      <c r="C9" s="7"/>
      <c r="D9" s="7"/>
      <c r="E9" s="7"/>
      <c r="F9" s="7"/>
    </row>
    <row r="10" spans="1:7" ht="12" customHeight="1" thickBot="1" x14ac:dyDescent="0.3">
      <c r="A10" s="46" t="s">
        <v>5</v>
      </c>
      <c r="B10" s="47"/>
      <c r="C10" s="70">
        <v>7.05</v>
      </c>
      <c r="D10" s="70">
        <v>8</v>
      </c>
      <c r="E10" s="70"/>
      <c r="F10" s="70">
        <v>7</v>
      </c>
      <c r="G10" s="73"/>
    </row>
    <row r="13" spans="1:7" x14ac:dyDescent="0.25">
      <c r="A13" s="13" t="s">
        <v>9</v>
      </c>
      <c r="B13" s="18"/>
      <c r="C13" s="14">
        <f>C6-SUM(C7:C8)</f>
        <v>0</v>
      </c>
      <c r="D13" s="14">
        <f>D6-SUM(D7:D8)</f>
        <v>0</v>
      </c>
      <c r="F13" s="14">
        <f>F6-SUM(F7:F8)</f>
        <v>0</v>
      </c>
    </row>
  </sheetData>
  <sheetProtection formatCells="0" insertRows="0" selectLockedCells="1"/>
  <protectedRanges>
    <protectedRange password="CA89" sqref="C6:D6 F6" name="Range1_2" securityDescriptor="O:WDG:WDD:(A;;CC;;;S-1-5-21-3219648850-738124763-203175933-17295)(A;;CC;;;S-1-5-21-3219648850-738124763-203175933-17298)(A;;CC;;;S-1-5-21-3219648850-738124763-203175933-17299)"/>
    <protectedRange password="CA89" sqref="A1:B3 G1:G3" name="Range1" securityDescriptor="O:WDG:WDD:(A;;CC;;;S-1-5-21-3219648850-738124763-203175933-17295)(A;;CC;;;S-1-5-21-3219648850-738124763-203175933-17298)(A;;CC;;;S-1-5-21-3219648850-738124763-203175933-17299)"/>
    <protectedRange password="CA89" sqref="C1:F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4:XFD4 G5:XFD5 A6:XFD1048576">
    <cfRule type="expression" priority="16" stopIfTrue="1">
      <formula>CELL("protect",A1)=1</formula>
    </cfRule>
    <cfRule type="expression" dxfId="10" priority="17">
      <formula>CELL("protect",A1)=1</formula>
    </cfRule>
  </conditionalFormatting>
  <conditionalFormatting sqref="C13:F13">
    <cfRule type="cellIs" dxfId="9" priority="13" operator="lessThan">
      <formula>0</formula>
    </cfRule>
    <cfRule type="cellIs" dxfId="8" priority="15" operator="greaterThan">
      <formula>0</formula>
    </cfRule>
  </conditionalFormatting>
  <conditionalFormatting sqref="A1:B3 G1:G3">
    <cfRule type="expression" priority="11" stopIfTrue="1">
      <formula>CELL("protect",A1)=1</formula>
    </cfRule>
    <cfRule type="expression" dxfId="7" priority="12">
      <formula>CELL("protect",A1)=1</formula>
    </cfRule>
  </conditionalFormatting>
  <conditionalFormatting sqref="C1:F3">
    <cfRule type="expression" priority="9" stopIfTrue="1">
      <formula>CELL("protect",C1)=1</formula>
    </cfRule>
    <cfRule type="expression" dxfId="6" priority="10">
      <formula>CELL("protect",C1)=1</formula>
    </cfRule>
  </conditionalFormatting>
  <conditionalFormatting sqref="A5:F5">
    <cfRule type="expression" priority="7" stopIfTrue="1">
      <formula>CELL("protect",A5)=1</formula>
    </cfRule>
    <cfRule type="expression" dxfId="5" priority="8">
      <formula>CELL("protect",A5)=1</formula>
    </cfRule>
  </conditionalFormatting>
  <pageMargins left="0.7" right="0.7" top="0.75" bottom="0.75" header="0.3" footer="0.3"/>
  <pageSetup scale="80" orientation="portrait" blackAndWhite="1" r:id="rId1"/>
  <ignoredErrors>
    <ignoredError sqref="D8 D6 F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80</v>
      </c>
      <c r="G1" s="25"/>
    </row>
    <row r="2" spans="1:7" ht="12" customHeight="1" x14ac:dyDescent="0.25">
      <c r="A2" s="26"/>
      <c r="B2" s="27"/>
      <c r="C2" s="28" t="s">
        <v>61</v>
      </c>
      <c r="D2" s="28" t="s">
        <v>76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6" t="s">
        <v>24</v>
      </c>
      <c r="B5" s="6"/>
      <c r="C5" s="16"/>
      <c r="D5" s="16"/>
      <c r="E5" s="17"/>
      <c r="F5" s="16"/>
    </row>
    <row r="6" spans="1:7" ht="12" customHeight="1" x14ac:dyDescent="0.25">
      <c r="A6" s="41" t="s">
        <v>28</v>
      </c>
      <c r="B6" s="41"/>
      <c r="C6" s="112">
        <v>2569530</v>
      </c>
      <c r="D6" s="112">
        <v>4375912</v>
      </c>
      <c r="E6" s="41"/>
      <c r="F6" s="112">
        <v>4381015</v>
      </c>
    </row>
    <row r="7" spans="1:7" ht="12" customHeight="1" x14ac:dyDescent="0.25">
      <c r="A7" s="71" t="s">
        <v>7</v>
      </c>
      <c r="B7" s="72"/>
      <c r="C7" s="78">
        <v>450805</v>
      </c>
      <c r="D7" s="78">
        <v>787528</v>
      </c>
      <c r="E7" s="78"/>
      <c r="F7" s="78">
        <v>789696</v>
      </c>
    </row>
    <row r="8" spans="1:7" ht="12" customHeight="1" x14ac:dyDescent="0.25">
      <c r="A8" s="42" t="s">
        <v>8</v>
      </c>
      <c r="B8" s="53"/>
      <c r="C8" s="84">
        <f>807693+922536+388496</f>
        <v>2118725</v>
      </c>
      <c r="D8" s="84">
        <f>1878635+1080000+629749</f>
        <v>3588384</v>
      </c>
      <c r="E8" s="84"/>
      <c r="F8" s="84">
        <v>3591319</v>
      </c>
    </row>
    <row r="9" spans="1:7" ht="12" customHeight="1" thickBot="1" x14ac:dyDescent="0.3">
      <c r="C9" s="7"/>
      <c r="D9" s="7"/>
      <c r="E9" s="7"/>
      <c r="F9" s="7"/>
    </row>
    <row r="10" spans="1:7" ht="12" customHeight="1" thickBot="1" x14ac:dyDescent="0.3">
      <c r="A10" s="46" t="s">
        <v>5</v>
      </c>
      <c r="B10" s="47"/>
      <c r="C10" s="70">
        <v>8.25</v>
      </c>
      <c r="D10" s="70">
        <v>9.4</v>
      </c>
      <c r="E10" s="70"/>
      <c r="F10" s="70">
        <v>9.4</v>
      </c>
      <c r="G10" s="50"/>
    </row>
    <row r="13" spans="1:7" x14ac:dyDescent="0.25">
      <c r="A13" s="13" t="s">
        <v>9</v>
      </c>
      <c r="B13" s="18"/>
      <c r="C13" s="14">
        <f>C6-SUM(C7:C8)</f>
        <v>0</v>
      </c>
      <c r="D13" s="14">
        <f>D6-SUM(D7:D8)</f>
        <v>0</v>
      </c>
      <c r="F13" s="14">
        <f>F6-SUM(F7:F8)</f>
        <v>0</v>
      </c>
    </row>
  </sheetData>
  <sheetProtection formatCells="0" insertRows="0" selectLockedCells="1"/>
  <protectedRanges>
    <protectedRange password="CA89" sqref="A4:G4 E5:G5 E6 G6 A11:G14 E10 G10 E7:G9 A5:B10" name="Range1" securityDescriptor="O:WDG:WDD:(A;;CC;;;S-1-5-21-3219648850-738124763-203175933-17295)(A;;CC;;;S-1-5-21-3219648850-738124763-203175933-17298)(A;;CC;;;S-1-5-21-3219648850-738124763-203175933-17299)"/>
    <protectedRange password="CA89" sqref="C5:D5 F10 C7:D10" name="Range1_1" securityDescriptor="O:WDG:WDD:(A;;CC;;;S-1-5-21-3219648850-738124763-203175933-17295)(A;;CC;;;S-1-5-21-3219648850-738124763-203175933-17298)(A;;CC;;;S-1-5-21-3219648850-738124763-203175933-17299)"/>
    <protectedRange password="CA89" sqref="C6:D6 F6" name="Range1_2" securityDescriptor="O:WDG:WDD:(A;;CC;;;S-1-5-21-3219648850-738124763-203175933-17295)(A;;CC;;;S-1-5-21-3219648850-738124763-203175933-17298)(A;;CC;;;S-1-5-21-3219648850-738124763-203175933-17299)"/>
    <protectedRange password="CA89" sqref="A1:B3 G1:G3" name="Range1_6" securityDescriptor="O:WDG:WDD:(A;;CC;;;S-1-5-21-3219648850-738124763-203175933-17295)(A;;CC;;;S-1-5-21-3219648850-738124763-203175933-17298)(A;;CC;;;S-1-5-21-3219648850-738124763-203175933-17299)"/>
    <protectedRange password="CA89" sqref="C1:F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8" stopIfTrue="1">
      <formula>CELL("protect",A1)=1</formula>
    </cfRule>
    <cfRule type="expression" dxfId="4" priority="9">
      <formula>CELL("protect",A1)=1</formula>
    </cfRule>
  </conditionalFormatting>
  <conditionalFormatting sqref="C13:F13">
    <cfRule type="cellIs" dxfId="3" priority="5" operator="lessThan">
      <formula>0</formula>
    </cfRule>
    <cfRule type="cellIs" dxfId="2" priority="7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1" priority="4">
      <formula>CELL("protect",A1)=1</formula>
    </cfRule>
  </conditionalFormatting>
  <conditionalFormatting sqref="C1:F3">
    <cfRule type="expression" priority="1" stopIfTrue="1">
      <formula>CELL("protect",C1)=1</formula>
    </cfRule>
    <cfRule type="expression" dxfId="0" priority="2">
      <formula>CELL("protect",C1)=1</formula>
    </cfRule>
  </conditionalFormatting>
  <pageMargins left="0.7" right="0.7" top="0.75" bottom="0.75" header="0.3" footer="0.3"/>
  <pageSetup scale="80" orientation="portrait" blackAndWhite="1" r:id="rId1"/>
  <ignoredErrors>
    <ignoredError sqref="C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Main</vt:lpstr>
      <vt:lpstr>Financial &amp; Admin Srvcs</vt:lpstr>
      <vt:lpstr>Public School Aid</vt:lpstr>
      <vt:lpstr>Learning Services</vt:lpstr>
      <vt:lpstr>Board Operated Schools</vt:lpstr>
      <vt:lpstr>MO Charter Public Commission</vt:lpstr>
      <vt:lpstr>Deaf &amp; Hard of Hearing</vt:lpstr>
      <vt:lpstr>Assistive Tech Council</vt:lpstr>
      <vt:lpstr>ColumnTitle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Main!Print_Area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McQuary, Pamela</cp:lastModifiedBy>
  <cp:lastPrinted>2019-12-23T19:42:52Z</cp:lastPrinted>
  <dcterms:created xsi:type="dcterms:W3CDTF">2009-08-21T15:10:29Z</dcterms:created>
  <dcterms:modified xsi:type="dcterms:W3CDTF">2021-01-27T03:09:42Z</dcterms:modified>
</cp:coreProperties>
</file>