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2025 Budget\Budget PDFs for web posting -JF\"/>
    </mc:Choice>
  </mc:AlternateContent>
  <xr:revisionPtr revIDLastSave="0" documentId="13_ncr:1_{7F45DDF1-71D0-4120-AE58-3B5CA9F50F7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in" sheetId="1" r:id="rId1"/>
    <sheet name="Financial &amp; Admin Srvcs" sheetId="4" r:id="rId2"/>
    <sheet name="Public School Aid" sheetId="5" r:id="rId3"/>
    <sheet name="Learning Services" sheetId="6" r:id="rId4"/>
    <sheet name="Board Operated Schools" sheetId="7" r:id="rId5"/>
    <sheet name="MO Charter Public Commission" sheetId="11" r:id="rId6"/>
    <sheet name="Deaf &amp; Hard of Hearing" sheetId="8" r:id="rId7"/>
    <sheet name="Assistive Tech Council" sheetId="9" r:id="rId8"/>
  </sheets>
  <definedNames>
    <definedName name="ColumnTitle">Main!$A$1</definedName>
    <definedName name="ColumnTitle2">'Financial &amp; Admin Srvcs'!$A$1</definedName>
    <definedName name="ColumnTitle3">'Public School Aid'!$A$1</definedName>
    <definedName name="ColumnTitle4">'Learning Services'!$A$4</definedName>
    <definedName name="ColumnTitle5">'Board Operated Schools'!$A$4</definedName>
    <definedName name="ColumnTitle6">'MO Charter Public Commission'!$A$1</definedName>
    <definedName name="ColumnTitle7">'Deaf &amp; Hard of Hearing'!$A$1</definedName>
    <definedName name="ColumnTitle8">'Assistive Tech Council'!$A$1</definedName>
    <definedName name="_xlnm.Print_Area" localSheetId="0">Main!$A$1:$G$39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6" l="1"/>
  <c r="D39" i="6"/>
  <c r="F48" i="6"/>
  <c r="D48" i="6"/>
  <c r="D25" i="6" l="1"/>
  <c r="F17" i="1" l="1"/>
  <c r="F52" i="6"/>
  <c r="F37" i="6"/>
  <c r="D18" i="5"/>
  <c r="C18" i="5"/>
  <c r="F42" i="6" l="1"/>
  <c r="F8" i="6"/>
  <c r="F53" i="6"/>
  <c r="F15" i="4"/>
  <c r="F10" i="4"/>
  <c r="F34" i="1"/>
  <c r="F16" i="1"/>
  <c r="F7" i="1"/>
  <c r="F31" i="6"/>
  <c r="F26" i="6"/>
  <c r="F50" i="6" s="1"/>
  <c r="F25" i="6"/>
  <c r="F9" i="9"/>
  <c r="F8" i="8"/>
  <c r="F12" i="7"/>
  <c r="F22" i="5"/>
  <c r="F21" i="5"/>
  <c r="F11" i="5"/>
  <c r="F5" i="5"/>
  <c r="F6" i="4"/>
  <c r="E34" i="1"/>
  <c r="E17" i="1"/>
  <c r="E16" i="1"/>
  <c r="C17" i="1"/>
  <c r="C7" i="1"/>
  <c r="C6" i="1"/>
  <c r="C14" i="1" s="1"/>
  <c r="C16" i="1"/>
  <c r="C34" i="1"/>
  <c r="C5" i="5"/>
  <c r="B6" i="1"/>
  <c r="E7" i="1"/>
  <c r="F6" i="1"/>
  <c r="E6" i="1"/>
  <c r="B7" i="1"/>
  <c r="C5" i="4" l="1"/>
  <c r="D5" i="4"/>
  <c r="C39" i="6" l="1"/>
  <c r="D42" i="6"/>
  <c r="D37" i="6"/>
  <c r="D31" i="6"/>
  <c r="D8" i="6"/>
  <c r="D50" i="6" s="1"/>
  <c r="D53" i="6"/>
  <c r="D52" i="6"/>
  <c r="C48" i="6"/>
  <c r="D26" i="6"/>
  <c r="D17" i="6"/>
  <c r="D15" i="6"/>
  <c r="C31" i="6"/>
  <c r="C25" i="6"/>
  <c r="C15" i="6"/>
  <c r="B34" i="1" l="1"/>
  <c r="B17" i="1"/>
  <c r="B16" i="1"/>
  <c r="C53" i="6"/>
  <c r="C52" i="6"/>
  <c r="C42" i="6"/>
  <c r="C37" i="6"/>
  <c r="C26" i="6"/>
  <c r="C9" i="6"/>
  <c r="C8" i="6" l="1"/>
  <c r="D15" i="4"/>
  <c r="D16" i="4"/>
  <c r="D12" i="4"/>
  <c r="D10" i="4"/>
  <c r="D6" i="4"/>
  <c r="C16" i="4"/>
  <c r="C15" i="4"/>
  <c r="C10" i="4"/>
  <c r="C12" i="4"/>
  <c r="C6" i="4" l="1"/>
  <c r="D9" i="9"/>
  <c r="C9" i="9"/>
  <c r="D8" i="8"/>
  <c r="C8" i="8"/>
  <c r="D12" i="7"/>
  <c r="C12" i="7"/>
  <c r="D22" i="5"/>
  <c r="D21" i="5"/>
  <c r="D5" i="5"/>
  <c r="C22" i="5"/>
  <c r="C19" i="5"/>
  <c r="C12" i="5"/>
  <c r="D9" i="7"/>
  <c r="F9" i="7"/>
  <c r="C9" i="7"/>
  <c r="C50" i="6"/>
  <c r="F19" i="5"/>
  <c r="D19" i="5"/>
  <c r="D13" i="4"/>
  <c r="F13" i="4"/>
  <c r="C13" i="4"/>
  <c r="E14" i="1"/>
  <c r="F14" i="1"/>
  <c r="B14" i="1"/>
  <c r="G50" i="6" l="1"/>
</calcChain>
</file>

<file path=xl/sharedStrings.xml><?xml version="1.0" encoding="utf-8"?>
<sst xmlns="http://schemas.openxmlformats.org/spreadsheetml/2006/main" count="200" uniqueCount="108">
  <si>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</si>
  <si>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</si>
  <si>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</si>
  <si>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</si>
  <si>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</si>
  <si>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</si>
  <si>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</si>
  <si>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</si>
  <si>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</si>
  <si>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</si>
  <si>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School District Bond Fund</t>
  </si>
  <si>
    <t>Bingo Proceeds for Education Fund</t>
  </si>
  <si>
    <t>Lottery Proceeds Fund</t>
  </si>
  <si>
    <t>Excellence in Education Fund</t>
  </si>
  <si>
    <t>Missouri Commission for the Deaf</t>
  </si>
  <si>
    <t>Early Childhood Development,</t>
  </si>
  <si>
    <t>Education and Care Fund</t>
  </si>
  <si>
    <t>Other Public School Aid</t>
  </si>
  <si>
    <t>Financial and Administrative Services</t>
  </si>
  <si>
    <t>Division of Learning Services</t>
  </si>
  <si>
    <t>Board Operated Schools</t>
  </si>
  <si>
    <t>Missouri Commission for the Deaf and Hard of Hearing</t>
  </si>
  <si>
    <t>Missouri Assistive Technology Council</t>
  </si>
  <si>
    <t>Foundation Formula</t>
  </si>
  <si>
    <t>School District Bond Program</t>
  </si>
  <si>
    <t>Federal Grants and Donations</t>
  </si>
  <si>
    <t>TOTAL</t>
  </si>
  <si>
    <t>Foundation - Formula</t>
  </si>
  <si>
    <t>Foundation - Small Schools Program</t>
  </si>
  <si>
    <t>Foundation - Transportation</t>
  </si>
  <si>
    <t>Foundation - Career Education</t>
  </si>
  <si>
    <t>School District Trust Fund</t>
  </si>
  <si>
    <t>Urban Teaching Program</t>
  </si>
  <si>
    <t>Excellence In Education Fund</t>
  </si>
  <si>
    <t>Title I Academic Standards and Assessments</t>
  </si>
  <si>
    <t>Scholars and Fine Arts Academies</t>
  </si>
  <si>
    <t>Performance Based Assessment</t>
  </si>
  <si>
    <t>Title II Improve Teacher Quality</t>
  </si>
  <si>
    <t>Title III, Part A - Language Acquisition</t>
  </si>
  <si>
    <t>Federal Refugees</t>
  </si>
  <si>
    <t>Character Education Initiatives</t>
  </si>
  <si>
    <t>Vocational Rehabilitation</t>
  </si>
  <si>
    <t>Career Education</t>
  </si>
  <si>
    <t>Special Education</t>
  </si>
  <si>
    <t>Handicapped Children's Trust Fund</t>
  </si>
  <si>
    <t>School Nutrition Services</t>
  </si>
  <si>
    <t>Teacher of the Year</t>
  </si>
  <si>
    <t>Homeless and Comprehensive School Health</t>
  </si>
  <si>
    <t>Title V, Part B - Rural and Low-Income Schools</t>
  </si>
  <si>
    <t>Dyslexia Programs</t>
  </si>
  <si>
    <t>Title IV, Part A - Student Support/Academic Enrichment</t>
  </si>
  <si>
    <t>Missouri Charter Public School Commission</t>
  </si>
  <si>
    <t>State Legal Expense Fund Transfer</t>
  </si>
  <si>
    <t>Missouri Healthy Schools</t>
  </si>
  <si>
    <t>STEM Awareness Program</t>
  </si>
  <si>
    <t>Computer Science Education Program</t>
  </si>
  <si>
    <t>Early Grade Reading Assessments</t>
  </si>
  <si>
    <t>School for Deaf Trust Fund</t>
  </si>
  <si>
    <t>School for Blind Trust Fund</t>
  </si>
  <si>
    <t>Part C Early Intervention System Fund</t>
  </si>
  <si>
    <t>Virtual Education</t>
  </si>
  <si>
    <t>Critical Needs</t>
  </si>
  <si>
    <t>Federal Stimulus Funds</t>
  </si>
  <si>
    <t>Early Childhood Special Education</t>
  </si>
  <si>
    <t>Parents As Teachers</t>
  </si>
  <si>
    <t>First Steps</t>
  </si>
  <si>
    <t>School Age Afterschool Program</t>
  </si>
  <si>
    <t>Home Visiting</t>
  </si>
  <si>
    <t>Office of Childhood</t>
  </si>
  <si>
    <t>FY 2023</t>
  </si>
  <si>
    <t>School Turnaround Act</t>
  </si>
  <si>
    <t>Early Childhood Coordination</t>
  </si>
  <si>
    <t>Child Care Quality Initiatives</t>
  </si>
  <si>
    <t>Missouri Project AWARE</t>
  </si>
  <si>
    <t>Early Child Comprehensive System</t>
  </si>
  <si>
    <t>Office of Childhood Administration</t>
  </si>
  <si>
    <t>Elementary and Secondary School Emergency Relief</t>
  </si>
  <si>
    <t>Educator Recruitment and Retention</t>
  </si>
  <si>
    <t>Stephen M. Ferman Memorial for Gifted Education</t>
  </si>
  <si>
    <t>Career Technology - Maintenance and Repair</t>
  </si>
  <si>
    <t>FY 2024</t>
  </si>
  <si>
    <t>Teacher Career Ladder</t>
  </si>
  <si>
    <t>School Safety Grants</t>
  </si>
  <si>
    <t>Project Extended Impact</t>
  </si>
  <si>
    <t>Pathways for Instructionally Embedded Assessment</t>
  </si>
  <si>
    <t>Tutoring and Civic Education</t>
  </si>
  <si>
    <t>STL Youth Program</t>
  </si>
  <si>
    <t>Missouri Holocaust Education and Awareness Commission</t>
  </si>
  <si>
    <t>Care to Learn</t>
  </si>
  <si>
    <t>Expanded Pre-Kindergarten</t>
  </si>
  <si>
    <t>Skills and Competency Programs</t>
  </si>
  <si>
    <t>FY 2025</t>
  </si>
  <si>
    <t>Grow Your Own</t>
  </si>
  <si>
    <t>Career and Technical Center Expansion</t>
  </si>
  <si>
    <t>Literacy Development Programs</t>
  </si>
  <si>
    <t>Teacher Recruitment and Retention</t>
  </si>
  <si>
    <t>Community Enrichment Programs</t>
  </si>
  <si>
    <t>Comprehensive School Health</t>
  </si>
  <si>
    <t>Child Care Subsidy and Initiatives</t>
  </si>
  <si>
    <t>*</t>
  </si>
  <si>
    <r>
      <t>Outstanding Schools Trust Fund</t>
    </r>
    <r>
      <rPr>
        <vertAlign val="superscript"/>
        <sz val="10.5"/>
        <color theme="1"/>
        <rFont val="Calibri"/>
        <family val="2"/>
        <scheme val="minor"/>
      </rPr>
      <t xml:space="preserve"> 1</t>
    </r>
  </si>
  <si>
    <r>
      <t>State School Moneys Fund</t>
    </r>
    <r>
      <rPr>
        <vertAlign val="superscript"/>
        <sz val="10.5"/>
        <color theme="1"/>
        <rFont val="Calibri"/>
        <family val="2"/>
        <scheme val="minor"/>
      </rPr>
      <t xml:space="preserve"> 2</t>
    </r>
  </si>
  <si>
    <r>
      <t>School District Trust Fund</t>
    </r>
    <r>
      <rPr>
        <vertAlign val="superscript"/>
        <sz val="10.5"/>
        <color theme="1"/>
        <rFont val="Calibri"/>
        <family val="2"/>
        <scheme val="minor"/>
      </rPr>
      <t xml:space="preserve"> 3</t>
    </r>
  </si>
  <si>
    <r>
      <t>Classroom Trust Fund</t>
    </r>
    <r>
      <rPr>
        <vertAlign val="superscript"/>
        <sz val="10.5"/>
        <color theme="1"/>
        <rFont val="Calibri"/>
        <family val="2"/>
        <scheme val="minor"/>
      </rPr>
      <t xml:space="preserve"> 4</t>
    </r>
  </si>
  <si>
    <t>Revolving Fund</t>
  </si>
  <si>
    <t xml:space="preserve">Missouri Charter Public School Commission </t>
  </si>
  <si>
    <t>and Hard of Hearing Fund</t>
  </si>
  <si>
    <t>Missouri Assistive Technology Council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</si>
</sst>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#,##0.00_)"/>
    <numFmt numFmtId="168" formatCode="0.0%"/>
  </numFmts>
  <fonts count="16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 val="singleAccounting"/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0.5"/>
      <name val="Calibri"/>
      <family val="2"/>
      <scheme val="minor"/>
    </font>
    <font>
      <b/>
      <vertAlign val="superscript"/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165" fontId="4" fillId="0" borderId="0" xfId="0" applyNumberFormat="1" applyFont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wrapText="1"/>
    </xf>
    <xf numFmtId="168" fontId="4" fillId="0" borderId="0" xfId="1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 vertical="center" indent="2"/>
      <protection locked="0"/>
    </xf>
    <xf numFmtId="2" fontId="4" fillId="0" borderId="0" xfId="0" applyNumberFormat="1" applyFont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center" indent="2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7" fontId="5" fillId="4" borderId="10" xfId="0" applyNumberFormat="1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left" vertical="center" indent="2"/>
      <protection locked="0"/>
    </xf>
    <xf numFmtId="0" fontId="4" fillId="3" borderId="0" xfId="0" applyNumberFormat="1" applyFont="1" applyFill="1" applyAlignment="1" applyProtection="1">
      <protection locked="0"/>
    </xf>
    <xf numFmtId="0" fontId="4" fillId="3" borderId="0" xfId="0" applyFont="1" applyFill="1" applyAlignment="1" applyProtection="1">
      <alignment horizontal="left" indent="2"/>
      <protection locked="0"/>
    </xf>
    <xf numFmtId="0" fontId="4" fillId="3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4" fillId="0" borderId="0" xfId="0" applyNumberFormat="1" applyFont="1" applyFill="1" applyAlignment="1" applyProtection="1">
      <protection locked="0"/>
    </xf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indent="2"/>
      <protection locked="0"/>
    </xf>
    <xf numFmtId="0" fontId="4" fillId="0" borderId="0" xfId="0" applyFont="1" applyFill="1" applyAlignment="1" applyProtection="1">
      <alignment horizontal="left" indent="2"/>
      <protection locked="0"/>
    </xf>
    <xf numFmtId="166" fontId="4" fillId="4" borderId="11" xfId="0" applyNumberFormat="1" applyFont="1" applyFill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inden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168" fontId="4" fillId="0" borderId="0" xfId="0" applyNumberFormat="1" applyFont="1" applyProtection="1">
      <protection locked="0"/>
    </xf>
    <xf numFmtId="165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Alignment="1" applyProtection="1">
      <alignment vertical="center"/>
    </xf>
    <xf numFmtId="166" fontId="4" fillId="0" borderId="0" xfId="0" applyNumberFormat="1" applyFont="1" applyAlignment="1" applyProtection="1">
      <alignment vertical="center" wrapText="1"/>
      <protection locked="0"/>
    </xf>
    <xf numFmtId="165" fontId="4" fillId="3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 indent="2"/>
      <protection locked="0"/>
    </xf>
    <xf numFmtId="0" fontId="4" fillId="0" borderId="0" xfId="0" applyFont="1" applyFill="1" applyAlignment="1" applyProtection="1">
      <alignment horizontal="left" vertical="center" indent="3"/>
      <protection locked="0"/>
    </xf>
    <xf numFmtId="0" fontId="4" fillId="5" borderId="0" xfId="0" applyFont="1" applyFill="1" applyAlignment="1" applyProtection="1">
      <alignment horizontal="left" vertical="center" indent="2"/>
      <protection locked="0"/>
    </xf>
    <xf numFmtId="0" fontId="4" fillId="5" borderId="0" xfId="0" applyFont="1" applyFill="1" applyAlignment="1" applyProtection="1">
      <alignment horizontal="left" indent="2"/>
      <protection locked="0"/>
    </xf>
    <xf numFmtId="0" fontId="4" fillId="0" borderId="0" xfId="0" applyFont="1" applyFill="1" applyAlignment="1" applyProtection="1">
      <alignment horizontal="left" vertical="center" indent="1"/>
      <protection locked="0"/>
    </xf>
    <xf numFmtId="0" fontId="11" fillId="0" borderId="0" xfId="0" applyFont="1" applyFill="1" applyAlignment="1" applyProtection="1">
      <alignment vertical="center"/>
    </xf>
    <xf numFmtId="41" fontId="11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4" fontId="4" fillId="3" borderId="0" xfId="0" applyNumberFormat="1" applyFont="1" applyFill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5" fontId="6" fillId="3" borderId="0" xfId="0" applyNumberFormat="1" applyFont="1" applyFill="1" applyAlignment="1" applyProtection="1">
      <alignment vertical="center"/>
      <protection locked="0"/>
    </xf>
    <xf numFmtId="44" fontId="4" fillId="3" borderId="0" xfId="0" applyNumberFormat="1" applyFont="1" applyFill="1" applyAlignment="1" applyProtection="1">
      <alignment vertical="center"/>
      <protection locked="0"/>
    </xf>
    <xf numFmtId="0" fontId="4" fillId="3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</xf>
    <xf numFmtId="165" fontId="4" fillId="5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  <protection locked="0"/>
    </xf>
    <xf numFmtId="165" fontId="6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65" fontId="6" fillId="0" borderId="0" xfId="0" applyNumberFormat="1" applyFont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5" fontId="4" fillId="3" borderId="0" xfId="0" applyNumberFormat="1" applyFont="1" applyFill="1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horizontal="left" vertical="center" indent="2"/>
      <protection locked="0"/>
    </xf>
    <xf numFmtId="165" fontId="4" fillId="0" borderId="0" xfId="0" applyNumberFormat="1" applyFont="1" applyFill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41" fontId="11" fillId="0" borderId="0" xfId="0" applyNumberFormat="1" applyFont="1" applyAlignment="1" applyProtection="1">
      <alignment vertical="center"/>
    </xf>
    <xf numFmtId="165" fontId="11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left" vertical="center" indent="1"/>
      <protection locked="0"/>
    </xf>
    <xf numFmtId="0" fontId="14" fillId="0" borderId="0" xfId="0" applyFont="1" applyFill="1" applyAlignment="1" applyProtection="1">
      <alignment vertical="center"/>
      <protection locked="0"/>
    </xf>
    <xf numFmtId="164" fontId="14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left" indent="2"/>
      <protection locked="0"/>
    </xf>
    <xf numFmtId="165" fontId="11" fillId="0" borderId="0" xfId="0" applyNumberFormat="1" applyFont="1" applyFill="1" applyAlignment="1" applyProtection="1">
      <protection locked="0"/>
    </xf>
    <xf numFmtId="0" fontId="4" fillId="3" borderId="0" xfId="0" applyFont="1" applyFill="1" applyAlignment="1" applyProtection="1">
      <alignment horizontal="left" vertical="center" indent="1"/>
      <protection locked="0"/>
    </xf>
    <xf numFmtId="165" fontId="4" fillId="5" borderId="0" xfId="0" applyNumberFormat="1" applyFont="1" applyFill="1" applyAlignment="1" applyProtection="1">
      <protection locked="0"/>
    </xf>
    <xf numFmtId="164" fontId="4" fillId="0" borderId="0" xfId="0" applyNumberFormat="1" applyFont="1" applyProtection="1">
      <protection locked="0"/>
    </xf>
    <xf numFmtId="6" fontId="4" fillId="0" borderId="0" xfId="0" applyNumberFormat="1" applyFont="1" applyFill="1" applyProtection="1">
      <protection locked="0"/>
    </xf>
    <xf numFmtId="165" fontId="4" fillId="0" borderId="1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>
      <alignment vertical="center"/>
    </xf>
    <xf numFmtId="166" fontId="5" fillId="4" borderId="2" xfId="0" applyNumberFormat="1" applyFont="1" applyFill="1" applyBorder="1" applyProtection="1"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166" fontId="4" fillId="0" borderId="0" xfId="0" applyNumberFormat="1" applyFont="1" applyAlignment="1" applyProtection="1">
      <alignment vertical="top"/>
      <protection locked="0"/>
    </xf>
    <xf numFmtId="166" fontId="4" fillId="0" borderId="0" xfId="0" applyNumberFormat="1" applyFont="1" applyProtection="1">
      <protection locked="0"/>
    </xf>
    <xf numFmtId="166" fontId="4" fillId="4" borderId="0" xfId="0" applyNumberFormat="1" applyFont="1" applyFill="1" applyAlignment="1" applyProtection="1">
      <alignment vertical="center"/>
      <protection locked="0"/>
    </xf>
    <xf numFmtId="166" fontId="4" fillId="4" borderId="0" xfId="0" applyNumberFormat="1" applyFont="1" applyFill="1" applyAlignment="1" applyProtection="1">
      <alignment vertical="top"/>
      <protection locked="0"/>
    </xf>
    <xf numFmtId="166" fontId="4" fillId="4" borderId="0" xfId="0" applyNumberFormat="1" applyFont="1" applyFill="1" applyProtection="1">
      <protection locked="0"/>
    </xf>
    <xf numFmtId="164" fontId="5" fillId="3" borderId="0" xfId="0" applyNumberFormat="1" applyFont="1" applyFill="1" applyAlignment="1">
      <alignment vertical="center"/>
    </xf>
    <xf numFmtId="0" fontId="4" fillId="0" borderId="0" xfId="0" applyFont="1" applyAlignment="1" applyProtection="1">
      <alignment horizontal="left" indent="2"/>
      <protection locked="0"/>
    </xf>
    <xf numFmtId="0" fontId="4" fillId="3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6" borderId="0" xfId="0" applyFont="1" applyFill="1" applyAlignment="1" applyProtection="1">
      <alignment vertical="center"/>
      <protection locked="0"/>
    </xf>
    <xf numFmtId="165" fontId="4" fillId="6" borderId="12" xfId="0" applyNumberFormat="1" applyFont="1" applyFill="1" applyBorder="1" applyAlignment="1" applyProtection="1">
      <alignment vertical="center"/>
      <protection locked="0"/>
    </xf>
    <xf numFmtId="0" fontId="11" fillId="6" borderId="0" xfId="0" applyFont="1" applyFill="1" applyAlignment="1" applyProtection="1">
      <alignment horizontal="left" vertical="center" indent="2"/>
      <protection locked="0"/>
    </xf>
    <xf numFmtId="0" fontId="11" fillId="6" borderId="0" xfId="0" applyFont="1" applyFill="1" applyAlignment="1" applyProtection="1">
      <alignment horizontal="left" indent="2"/>
      <protection locked="0"/>
    </xf>
    <xf numFmtId="165" fontId="11" fillId="6" borderId="0" xfId="0" applyNumberFormat="1" applyFont="1" applyFill="1" applyAlignment="1" applyProtection="1">
      <alignment vertical="center"/>
      <protection locked="0"/>
    </xf>
    <xf numFmtId="165" fontId="11" fillId="6" borderId="0" xfId="0" applyNumberFormat="1" applyFont="1" applyFill="1" applyAlignment="1" applyProtection="1">
      <protection locked="0"/>
    </xf>
    <xf numFmtId="165" fontId="4" fillId="0" borderId="0" xfId="0" applyNumberFormat="1" applyFont="1" applyFill="1" applyAlignment="1" applyProtection="1">
      <alignment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166" fontId="4" fillId="0" borderId="7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9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zoomScale="130" zoomScaleNormal="130" workbookViewId="0">
      <pane ySplit="3" topLeftCell="A4" activePane="bottomLeft" state="frozen"/>
      <selection pane="bottomLeft" activeCell="G55" sqref="G55"/>
    </sheetView>
  </sheetViews>
  <sheetFormatPr defaultColWidth="8.75" defaultRowHeight="14.25" x14ac:dyDescent="0.25"/>
  <cols>
    <col min="1" max="1" width="41.5" style="5" customWidth="1"/>
    <col min="2" max="2" width="15.125" style="5" customWidth="1"/>
    <col min="3" max="3" width="14.25" style="5" customWidth="1"/>
    <col min="4" max="4" width="1.625" style="5" customWidth="1"/>
    <col min="5" max="6" width="14.875" style="5" customWidth="1"/>
    <col min="7" max="7" width="1.625" style="5" customWidth="1"/>
    <col min="8" max="16384" width="8.75" style="5"/>
  </cols>
  <sheetData>
    <row r="1" spans="1:8" ht="12" customHeight="1" x14ac:dyDescent="0.25">
      <c r="A1" s="18"/>
      <c r="B1" s="20"/>
      <c r="C1" s="20"/>
      <c r="D1" s="20"/>
      <c r="E1" s="20"/>
      <c r="F1" s="20" t="s">
        <v>91</v>
      </c>
      <c r="G1" s="30"/>
    </row>
    <row r="2" spans="1:8" ht="12" customHeight="1" x14ac:dyDescent="0.25">
      <c r="A2" s="22"/>
      <c r="B2" s="113" t="s">
        <v>69</v>
      </c>
      <c r="C2" s="113" t="s">
        <v>80</v>
      </c>
      <c r="D2" s="113"/>
      <c r="E2" s="113" t="s">
        <v>91</v>
      </c>
      <c r="F2" s="113" t="s">
        <v>3</v>
      </c>
      <c r="G2" s="31"/>
    </row>
    <row r="3" spans="1:8" ht="12" customHeight="1" thickBot="1" x14ac:dyDescent="0.3">
      <c r="A3" s="26"/>
      <c r="B3" s="28" t="s">
        <v>0</v>
      </c>
      <c r="C3" s="28" t="s">
        <v>1</v>
      </c>
      <c r="D3" s="28"/>
      <c r="E3" s="28" t="s">
        <v>2</v>
      </c>
      <c r="F3" s="28" t="s">
        <v>4</v>
      </c>
      <c r="G3" s="32"/>
    </row>
    <row r="4" spans="1:8" ht="12" customHeight="1" x14ac:dyDescent="0.25"/>
    <row r="5" spans="1:8" ht="12" customHeight="1" x14ac:dyDescent="0.25">
      <c r="A5" s="33" t="s">
        <v>18</v>
      </c>
      <c r="B5" s="77">
        <v>1298843457</v>
      </c>
      <c r="C5" s="77">
        <v>1999251773</v>
      </c>
      <c r="D5" s="33"/>
      <c r="E5" s="77">
        <v>1710226740</v>
      </c>
      <c r="F5" s="77">
        <v>1576397887</v>
      </c>
      <c r="H5" s="14"/>
    </row>
    <row r="6" spans="1:8" ht="12" customHeight="1" x14ac:dyDescent="0.25">
      <c r="A6" s="6" t="s">
        <v>23</v>
      </c>
      <c r="B6" s="78">
        <f>2623847311+954484579</f>
        <v>3578331890</v>
      </c>
      <c r="C6" s="78">
        <f>2667947176+996884018</f>
        <v>3664831194</v>
      </c>
      <c r="D6" s="79"/>
      <c r="E6" s="78">
        <f>2788546804+996884018</f>
        <v>3785430822</v>
      </c>
      <c r="F6" s="78">
        <f>2758501472+1026929350</f>
        <v>3785430822</v>
      </c>
      <c r="G6" s="6"/>
      <c r="H6" s="14"/>
    </row>
    <row r="7" spans="1:8" ht="12" customHeight="1" x14ac:dyDescent="0.25">
      <c r="A7" s="33" t="s">
        <v>17</v>
      </c>
      <c r="B7" s="68">
        <f>5171733061-B6</f>
        <v>1593401171</v>
      </c>
      <c r="C7" s="68">
        <f>5369761093-C6</f>
        <v>1704929899</v>
      </c>
      <c r="D7" s="68"/>
      <c r="E7" s="68">
        <f>5509150951-E6</f>
        <v>1723720129</v>
      </c>
      <c r="F7" s="68">
        <f>5686504285-F6</f>
        <v>1901073463</v>
      </c>
      <c r="G7" s="6"/>
      <c r="H7" s="14"/>
    </row>
    <row r="8" spans="1:8" ht="12" customHeight="1" x14ac:dyDescent="0.25">
      <c r="A8" s="9" t="s">
        <v>19</v>
      </c>
      <c r="B8" s="78">
        <v>1749743845</v>
      </c>
      <c r="C8" s="78">
        <v>2338426865</v>
      </c>
      <c r="D8" s="6"/>
      <c r="E8" s="78">
        <v>2239570248</v>
      </c>
      <c r="F8" s="78">
        <v>2186644706</v>
      </c>
      <c r="G8" s="6"/>
      <c r="H8" s="14"/>
    </row>
    <row r="9" spans="1:8" ht="12" customHeight="1" x14ac:dyDescent="0.25">
      <c r="A9" s="35" t="s">
        <v>20</v>
      </c>
      <c r="B9" s="68">
        <v>54311744</v>
      </c>
      <c r="C9" s="68">
        <v>62297539</v>
      </c>
      <c r="D9" s="33"/>
      <c r="E9" s="68">
        <v>62297539</v>
      </c>
      <c r="F9" s="68">
        <v>63582911</v>
      </c>
      <c r="G9" s="6"/>
      <c r="H9" s="14"/>
    </row>
    <row r="10" spans="1:8" ht="12" customHeight="1" x14ac:dyDescent="0.25">
      <c r="A10" s="9" t="s">
        <v>51</v>
      </c>
      <c r="B10" s="78">
        <v>979478</v>
      </c>
      <c r="C10" s="78">
        <v>3842953</v>
      </c>
      <c r="D10" s="6"/>
      <c r="E10" s="78">
        <v>3842953</v>
      </c>
      <c r="F10" s="78">
        <v>3860036</v>
      </c>
      <c r="G10" s="6"/>
      <c r="H10" s="14"/>
    </row>
    <row r="11" spans="1:8" ht="12" customHeight="1" x14ac:dyDescent="0.25">
      <c r="A11" s="33" t="s">
        <v>21</v>
      </c>
      <c r="B11" s="68">
        <v>971555</v>
      </c>
      <c r="C11" s="68">
        <v>1452727</v>
      </c>
      <c r="D11" s="33"/>
      <c r="E11" s="68">
        <v>1452727</v>
      </c>
      <c r="F11" s="68">
        <v>1467076</v>
      </c>
      <c r="G11" s="6"/>
      <c r="H11" s="14"/>
    </row>
    <row r="12" spans="1:8" ht="12" customHeight="1" x14ac:dyDescent="0.25">
      <c r="A12" s="6" t="s">
        <v>22</v>
      </c>
      <c r="B12" s="78">
        <v>2905216</v>
      </c>
      <c r="C12" s="78">
        <v>4567548</v>
      </c>
      <c r="D12" s="6"/>
      <c r="E12" s="78">
        <v>4567548</v>
      </c>
      <c r="F12" s="78">
        <v>4586756</v>
      </c>
      <c r="G12" s="6"/>
      <c r="H12" s="14"/>
    </row>
    <row r="13" spans="1:8" s="6" customFormat="1" ht="13.5" customHeight="1" x14ac:dyDescent="0.2">
      <c r="A13" s="89" t="s">
        <v>52</v>
      </c>
      <c r="B13" s="86">
        <v>0</v>
      </c>
      <c r="C13" s="86">
        <v>1</v>
      </c>
      <c r="D13" s="81"/>
      <c r="E13" s="86">
        <v>1</v>
      </c>
      <c r="F13" s="86">
        <v>1</v>
      </c>
    </row>
    <row r="14" spans="1:8" ht="12" customHeight="1" x14ac:dyDescent="0.25">
      <c r="A14" s="65" t="s">
        <v>9</v>
      </c>
      <c r="B14" s="66">
        <f>SUM(B5:B13)</f>
        <v>8279488356</v>
      </c>
      <c r="C14" s="66">
        <f>SUM(C5:C13)</f>
        <v>9779600499</v>
      </c>
      <c r="D14" s="135" t="s">
        <v>99</v>
      </c>
      <c r="E14" s="66">
        <f t="shared" ref="E14:F14" si="0">SUM(E5:E13)</f>
        <v>9531108707</v>
      </c>
      <c r="F14" s="66">
        <f t="shared" si="0"/>
        <v>9523043658</v>
      </c>
      <c r="G14" s="90"/>
      <c r="H14" s="63"/>
    </row>
    <row r="15" spans="1:8" ht="12" customHeight="1" x14ac:dyDescent="0.25">
      <c r="A15" s="37" t="s">
        <v>6</v>
      </c>
      <c r="B15" s="68">
        <v>3958235226</v>
      </c>
      <c r="C15" s="68">
        <v>4005837790</v>
      </c>
      <c r="D15" s="33"/>
      <c r="E15" s="68">
        <v>4148575355</v>
      </c>
      <c r="F15" s="68">
        <v>4269528441</v>
      </c>
      <c r="G15" s="6"/>
    </row>
    <row r="16" spans="1:8" ht="12" customHeight="1" x14ac:dyDescent="0.25">
      <c r="A16" s="57" t="s">
        <v>7</v>
      </c>
      <c r="B16" s="64">
        <f>91914398+1094751326+0+138909439+0+416953+0+28425000</f>
        <v>1354417116</v>
      </c>
      <c r="C16" s="64">
        <f>119887779+1276067161+1500000+219840109+500000+826353+2900000+1550000</f>
        <v>1623071402</v>
      </c>
      <c r="D16" s="51"/>
      <c r="E16" s="64">
        <f>119887779+1133393295+0+219840109+500000+826353+2900000+0</f>
        <v>1477347536</v>
      </c>
      <c r="F16" s="64">
        <f>121094753+1133985326+0+220008819+500000+834481+2900000+0</f>
        <v>1479323379</v>
      </c>
      <c r="G16" s="6"/>
    </row>
    <row r="17" spans="1:7" ht="12" customHeight="1" x14ac:dyDescent="0.25">
      <c r="A17" s="37" t="s">
        <v>62</v>
      </c>
      <c r="B17" s="68">
        <f>71595728+213757193+646769112+1976825+229129702+3676427</f>
        <v>1166904987</v>
      </c>
      <c r="C17" s="68">
        <f>127087475+175299071+1306243285+5421111+325000000+128000000</f>
        <v>2067050942</v>
      </c>
      <c r="D17" s="33"/>
      <c r="E17" s="68">
        <f>124725069+74890704+1230771485+5225439+263132754+122000000</f>
        <v>1820745451</v>
      </c>
      <c r="F17" s="68">
        <f>87047840+22012626+1139273479+3041865+100754730+218261581</f>
        <v>1570392121</v>
      </c>
      <c r="G17" s="6"/>
    </row>
    <row r="18" spans="1:7" ht="12" customHeight="1" x14ac:dyDescent="0.25">
      <c r="A18" s="57" t="s">
        <v>10</v>
      </c>
      <c r="B18" s="64">
        <v>375164</v>
      </c>
      <c r="C18" s="64">
        <v>492000</v>
      </c>
      <c r="D18" s="51"/>
      <c r="E18" s="64">
        <v>492000</v>
      </c>
      <c r="F18" s="64">
        <v>492000</v>
      </c>
      <c r="G18" s="6"/>
    </row>
    <row r="19" spans="1:7" s="95" customFormat="1" ht="12" customHeight="1" x14ac:dyDescent="0.2">
      <c r="A19" s="37" t="s">
        <v>100</v>
      </c>
      <c r="B19" s="94">
        <v>49474</v>
      </c>
      <c r="C19" s="94">
        <v>4814</v>
      </c>
      <c r="D19" s="37"/>
      <c r="E19" s="94">
        <v>4814</v>
      </c>
      <c r="F19" s="94">
        <v>124826</v>
      </c>
    </row>
    <row r="20" spans="1:7" ht="12" customHeight="1" x14ac:dyDescent="0.25">
      <c r="A20" s="57" t="s">
        <v>11</v>
      </c>
      <c r="B20" s="64">
        <v>1441000</v>
      </c>
      <c r="C20" s="64">
        <v>1876355</v>
      </c>
      <c r="D20" s="51"/>
      <c r="E20" s="64">
        <v>1876355</v>
      </c>
      <c r="F20" s="64">
        <v>1876355</v>
      </c>
      <c r="G20" s="6"/>
    </row>
    <row r="21" spans="1:7" ht="12" customHeight="1" x14ac:dyDescent="0.25">
      <c r="A21" s="37" t="s">
        <v>12</v>
      </c>
      <c r="B21" s="68">
        <v>179917655</v>
      </c>
      <c r="C21" s="68">
        <v>403290327</v>
      </c>
      <c r="D21" s="33"/>
      <c r="E21" s="68">
        <v>402590327</v>
      </c>
      <c r="F21" s="68">
        <v>362036876</v>
      </c>
      <c r="G21" s="6"/>
    </row>
    <row r="22" spans="1:7" s="6" customFormat="1" ht="12" customHeight="1" x14ac:dyDescent="0.2">
      <c r="A22" s="57" t="s">
        <v>101</v>
      </c>
      <c r="B22" s="64">
        <v>37899834</v>
      </c>
      <c r="C22" s="64">
        <v>69485066</v>
      </c>
      <c r="D22" s="51"/>
      <c r="E22" s="64">
        <v>69485066</v>
      </c>
      <c r="F22" s="64">
        <v>69365054</v>
      </c>
    </row>
    <row r="23" spans="1:7" ht="12" customHeight="1" x14ac:dyDescent="0.25">
      <c r="A23" s="37" t="s">
        <v>13</v>
      </c>
      <c r="B23" s="68">
        <v>1610021</v>
      </c>
      <c r="C23" s="68">
        <v>3221303</v>
      </c>
      <c r="D23" s="33"/>
      <c r="E23" s="68">
        <v>3221303</v>
      </c>
      <c r="F23" s="68">
        <v>3250164</v>
      </c>
      <c r="G23" s="6"/>
    </row>
    <row r="24" spans="1:7" s="97" customFormat="1" ht="12" customHeight="1" x14ac:dyDescent="0.2">
      <c r="A24" s="57" t="s">
        <v>102</v>
      </c>
      <c r="B24" s="96">
        <v>1181958000</v>
      </c>
      <c r="C24" s="96">
        <v>1187660000</v>
      </c>
      <c r="D24" s="73"/>
      <c r="E24" s="96">
        <v>1187660000</v>
      </c>
      <c r="F24" s="96">
        <v>1306961000</v>
      </c>
    </row>
    <row r="25" spans="1:7" ht="12" customHeight="1" x14ac:dyDescent="0.25">
      <c r="A25" s="37" t="s">
        <v>105</v>
      </c>
      <c r="B25" s="68"/>
      <c r="C25" s="68"/>
      <c r="D25" s="33"/>
      <c r="E25" s="68"/>
      <c r="F25" s="68"/>
      <c r="G25" s="6"/>
    </row>
    <row r="26" spans="1:7" ht="12" customHeight="1" x14ac:dyDescent="0.25">
      <c r="A26" s="37" t="s">
        <v>104</v>
      </c>
      <c r="B26" s="68">
        <v>979478</v>
      </c>
      <c r="C26" s="68">
        <v>3342953</v>
      </c>
      <c r="D26" s="33"/>
      <c r="E26" s="68">
        <v>3342953</v>
      </c>
      <c r="F26" s="68">
        <v>3360036</v>
      </c>
      <c r="G26" s="6"/>
    </row>
    <row r="27" spans="1:7" ht="12" customHeight="1" x14ac:dyDescent="0.25">
      <c r="A27" s="69" t="s">
        <v>14</v>
      </c>
      <c r="B27" s="74"/>
      <c r="C27" s="74"/>
      <c r="D27" s="74"/>
      <c r="E27" s="75"/>
      <c r="F27" s="75"/>
      <c r="G27" s="6"/>
    </row>
    <row r="28" spans="1:7" ht="12" customHeight="1" x14ac:dyDescent="0.25">
      <c r="A28" s="70" t="s">
        <v>106</v>
      </c>
      <c r="B28" s="64">
        <v>0</v>
      </c>
      <c r="C28" s="64">
        <v>160492</v>
      </c>
      <c r="D28" s="51"/>
      <c r="E28" s="64">
        <v>160492</v>
      </c>
      <c r="F28" s="64">
        <v>161820</v>
      </c>
      <c r="G28" s="6"/>
    </row>
    <row r="29" spans="1:7" ht="12" customHeight="1" x14ac:dyDescent="0.25">
      <c r="A29" s="37" t="s">
        <v>107</v>
      </c>
      <c r="B29" s="68">
        <v>947372</v>
      </c>
      <c r="C29" s="68">
        <v>1080004</v>
      </c>
      <c r="D29" s="33"/>
      <c r="E29" s="68">
        <v>1080004</v>
      </c>
      <c r="F29" s="68">
        <v>1080004</v>
      </c>
      <c r="G29" s="6"/>
    </row>
    <row r="30" spans="1:7" s="6" customFormat="1" ht="12" customHeight="1" x14ac:dyDescent="0.2">
      <c r="A30" s="57" t="s">
        <v>103</v>
      </c>
      <c r="B30" s="64">
        <v>349005372</v>
      </c>
      <c r="C30" s="64">
        <v>364134511</v>
      </c>
      <c r="D30" s="51"/>
      <c r="E30" s="64">
        <v>364134511</v>
      </c>
      <c r="F30" s="64">
        <v>404687962</v>
      </c>
    </row>
    <row r="31" spans="1:7" ht="12" customHeight="1" x14ac:dyDescent="0.25">
      <c r="A31" s="37" t="s">
        <v>59</v>
      </c>
      <c r="B31" s="68">
        <v>10000000</v>
      </c>
      <c r="C31" s="68">
        <v>10000000</v>
      </c>
      <c r="D31" s="33"/>
      <c r="E31" s="68">
        <v>11500000</v>
      </c>
      <c r="F31" s="68">
        <v>11500000</v>
      </c>
      <c r="G31" s="6"/>
    </row>
    <row r="32" spans="1:7" ht="12" customHeight="1" x14ac:dyDescent="0.25">
      <c r="A32" s="57" t="s">
        <v>15</v>
      </c>
      <c r="D32" s="76"/>
      <c r="G32" s="6"/>
    </row>
    <row r="33" spans="1:7" ht="12" customHeight="1" x14ac:dyDescent="0.25">
      <c r="A33" s="70" t="s">
        <v>16</v>
      </c>
      <c r="B33" s="132">
        <v>33699154</v>
      </c>
      <c r="C33" s="132">
        <v>34039033</v>
      </c>
      <c r="D33" s="51"/>
      <c r="E33" s="132">
        <v>34039033</v>
      </c>
      <c r="F33" s="132">
        <v>34039033</v>
      </c>
      <c r="G33" s="6"/>
    </row>
    <row r="34" spans="1:7" ht="12" customHeight="1" x14ac:dyDescent="0.25">
      <c r="A34" s="37" t="s">
        <v>8</v>
      </c>
      <c r="B34" s="68">
        <f>67179+196000+722934+90865+0+521407+449768+350</f>
        <v>2048503</v>
      </c>
      <c r="C34" s="68">
        <f>152260+190556+1922151+100000+200000+739040+1500000+49500</f>
        <v>4853507</v>
      </c>
      <c r="D34" s="33"/>
      <c r="E34" s="68">
        <f>152260+190556+1922151+100000+200000+739040+1500000+49500</f>
        <v>4853507</v>
      </c>
      <c r="F34" s="68">
        <f>152260+190556+1931182+100000+200000+741089+1500000+49500</f>
        <v>4864587</v>
      </c>
      <c r="G34" s="6"/>
    </row>
    <row r="35" spans="1:7" ht="12" customHeight="1" thickBot="1" x14ac:dyDescent="0.3">
      <c r="A35" s="6"/>
      <c r="B35" s="6"/>
      <c r="C35" s="6"/>
      <c r="D35" s="6"/>
      <c r="E35" s="6"/>
      <c r="F35" s="6"/>
      <c r="G35" s="6"/>
    </row>
    <row r="36" spans="1:7" ht="12" customHeight="1" x14ac:dyDescent="0.25">
      <c r="A36" s="38" t="s">
        <v>5</v>
      </c>
      <c r="B36" s="114">
        <v>1571.11</v>
      </c>
      <c r="C36" s="114">
        <v>1803</v>
      </c>
      <c r="D36" s="115"/>
      <c r="E36" s="114">
        <v>1803</v>
      </c>
      <c r="F36" s="114">
        <v>1812</v>
      </c>
      <c r="G36" s="39"/>
    </row>
    <row r="37" spans="1:7" ht="12" customHeight="1" x14ac:dyDescent="0.25">
      <c r="A37" s="16" t="s">
        <v>6</v>
      </c>
      <c r="B37" s="116">
        <v>682.71</v>
      </c>
      <c r="C37" s="117">
        <v>819.39</v>
      </c>
      <c r="D37" s="118"/>
      <c r="E37" s="116">
        <v>819.39</v>
      </c>
      <c r="F37" s="116">
        <v>826.39</v>
      </c>
      <c r="G37" s="10"/>
    </row>
    <row r="38" spans="1:7" ht="12" customHeight="1" x14ac:dyDescent="0.25">
      <c r="A38" s="46" t="s">
        <v>7</v>
      </c>
      <c r="B38" s="119">
        <v>869.18</v>
      </c>
      <c r="C38" s="120">
        <v>958.86</v>
      </c>
      <c r="D38" s="121"/>
      <c r="E38" s="119">
        <v>958.86</v>
      </c>
      <c r="F38" s="119">
        <v>960.86</v>
      </c>
      <c r="G38" s="40"/>
    </row>
    <row r="39" spans="1:7" s="6" customFormat="1" ht="12" customHeight="1" thickBot="1" x14ac:dyDescent="0.25">
      <c r="A39" s="133" t="s">
        <v>8</v>
      </c>
      <c r="B39" s="134">
        <v>19.22</v>
      </c>
      <c r="C39" s="134">
        <v>24.75</v>
      </c>
      <c r="D39" s="134"/>
      <c r="E39" s="134">
        <v>24.75</v>
      </c>
      <c r="F39" s="134">
        <v>24.75</v>
      </c>
      <c r="G39" s="11"/>
    </row>
    <row r="42" spans="1:7" x14ac:dyDescent="0.25">
      <c r="A42" s="60"/>
      <c r="B42" s="62"/>
      <c r="C42" s="62"/>
      <c r="D42" s="62"/>
      <c r="E42" s="62"/>
      <c r="F42" s="62"/>
    </row>
    <row r="43" spans="1:7" x14ac:dyDescent="0.25">
      <c r="A43" s="60"/>
      <c r="B43" s="62"/>
      <c r="C43" s="62"/>
      <c r="D43" s="62"/>
      <c r="E43" s="62"/>
      <c r="F43" s="62"/>
    </row>
    <row r="44" spans="1:7" x14ac:dyDescent="0.25">
      <c r="A44" s="60"/>
      <c r="B44" s="62"/>
      <c r="C44" s="62"/>
      <c r="D44" s="62"/>
      <c r="E44" s="62"/>
      <c r="F44" s="62"/>
    </row>
    <row r="45" spans="1:7" x14ac:dyDescent="0.25">
      <c r="A45" s="60"/>
      <c r="B45" s="62"/>
      <c r="C45" s="62"/>
      <c r="D45" s="62"/>
      <c r="E45" s="62"/>
      <c r="F45" s="62"/>
    </row>
    <row r="46" spans="1:7" x14ac:dyDescent="0.25">
      <c r="A46" s="60"/>
      <c r="B46" s="62"/>
      <c r="C46" s="62"/>
      <c r="D46" s="62"/>
      <c r="E46" s="62"/>
      <c r="F46" s="62"/>
    </row>
    <row r="47" spans="1:7" x14ac:dyDescent="0.25">
      <c r="A47" s="60"/>
      <c r="B47" s="62"/>
      <c r="C47" s="62"/>
      <c r="D47" s="62"/>
      <c r="E47" s="62"/>
      <c r="F47" s="62"/>
    </row>
    <row r="48" spans="1:7" x14ac:dyDescent="0.25">
      <c r="A48" s="60"/>
      <c r="B48" s="62"/>
      <c r="C48" s="62"/>
      <c r="D48" s="62"/>
      <c r="E48" s="62"/>
      <c r="F48" s="62"/>
    </row>
    <row r="49" spans="1:7" x14ac:dyDescent="0.25">
      <c r="A49" s="60"/>
      <c r="B49" s="62"/>
      <c r="C49" s="62"/>
      <c r="D49" s="62"/>
      <c r="E49" s="62"/>
      <c r="F49" s="62"/>
    </row>
    <row r="50" spans="1:7" x14ac:dyDescent="0.25">
      <c r="A50" s="60"/>
      <c r="B50" s="62"/>
      <c r="C50" s="62"/>
      <c r="D50" s="62"/>
      <c r="E50" s="62"/>
      <c r="F50" s="62"/>
    </row>
    <row r="51" spans="1:7" x14ac:dyDescent="0.25">
      <c r="A51" s="60"/>
      <c r="B51" s="62"/>
      <c r="C51" s="62"/>
      <c r="D51" s="62"/>
      <c r="E51" s="62"/>
      <c r="F51" s="62"/>
    </row>
    <row r="52" spans="1:7" x14ac:dyDescent="0.25">
      <c r="A52" s="61"/>
      <c r="B52" s="62"/>
      <c r="C52" s="62"/>
      <c r="D52" s="62"/>
      <c r="E52" s="62"/>
      <c r="F52" s="62"/>
    </row>
    <row r="53" spans="1:7" x14ac:dyDescent="0.25">
      <c r="A53" s="61"/>
      <c r="B53" s="62"/>
      <c r="C53" s="62"/>
      <c r="D53" s="62"/>
      <c r="E53" s="62"/>
      <c r="F53" s="62"/>
    </row>
    <row r="54" spans="1:7" x14ac:dyDescent="0.25">
      <c r="A54" s="61"/>
      <c r="B54" s="62"/>
      <c r="C54" s="62"/>
      <c r="D54" s="62"/>
      <c r="E54" s="62"/>
      <c r="F54" s="62"/>
    </row>
    <row r="55" spans="1:7" x14ac:dyDescent="0.25">
      <c r="A55" s="60"/>
      <c r="B55" s="67"/>
      <c r="C55" s="67"/>
      <c r="D55" s="67"/>
      <c r="E55" s="67"/>
      <c r="F55" s="67"/>
      <c r="G55" s="67"/>
    </row>
    <row r="57" spans="1:7" ht="15.75" x14ac:dyDescent="0.25">
      <c r="A57" s="136"/>
      <c r="B57" s="136"/>
      <c r="C57" s="136"/>
      <c r="D57" s="136"/>
      <c r="E57" s="136"/>
      <c r="F57" s="136"/>
    </row>
  </sheetData>
  <sheetProtection formatCells="0" insertRows="0" selectLockedCells="1"/>
  <protectedRanges>
    <protectedRange algorithmName="SHA-512" hashValue="GqBIzzshgxW+5ID8jSwqsyL2ER2xapo4v2C/f9y0OKOzR6Uy6j21JsBxWIBiIA2uICeqfZObUsOUGZYVOw3w1g==" saltValue="2NT2wwn4eGAEf9bO/HiQQg==" spinCount="100000" sqref="A1:A7 F27:G27 B27:C27 B1:G5 G6:G12 E33 D35:G35 D37:D39 G36:G39 B40:G42 G15:G26 A11:A42 B33:C35 D27:D32 E27:E31 G28:G34 F28 B13:G14" name="Range1" securityDescriptor="O:WDG:WDD:(A;;CC;;;S-1-5-21-3219648850-738124763-203175933-17295)(A;;CC;;;S-1-5-21-3219648850-738124763-203175933-17298)(A;;CC;;;S-1-5-21-3219648850-738124763-203175933-17299)"/>
    <protectedRange algorithmName="SHA-512" hashValue="KrTtG6EZPih0zNpcaIkuM0PZO0Q6emJsf42MsJaCK2lPWwUD6GEMkcEPlwhmj3caDbZfmgJ0iA5mWPmItK2BvA==" saltValue="kctN55VpvsAr9Aa5VI6NUQ==" spinCount="100000" sqref="B29:F31 B34:C34 D33:D34 E34:F34 B6:F12 B28:E28 B15:F26" name="Range1_1" securityDescriptor="O:WDG:WDD:(A;;CC;;;S-1-5-21-3219648850-738124763-203175933-17295)(A;;CC;;;S-1-5-21-3219648850-738124763-203175933-17298)(A;;CC;;;S-1-5-21-3219648850-738124763-203175933-17299)"/>
    <protectedRange algorithmName="SHA-512" hashValue="lC9zXHv8et/z8Gku7jw46pEO79O9k8ZJsC4gi5b5J1/7Z8GEuIBNhEbfiMjg+y6Z4mtK8KzuX4UtbnwyRhe9kQ==" saltValue="QtuS5nmTmJuJWGSZXduYaw==" spinCount="100000" sqref="B36:B39 C36:F36" name="Range1_2" securityDescriptor="O:WDG:WDD:(A;;CC;;;S-1-5-21-3219648850-738124763-203175933-17295)(A;;CC;;;S-1-5-21-3219648850-738124763-203175933-17298)(A;;CC;;;S-1-5-21-3219648850-738124763-203175933-17299)"/>
    <protectedRange algorithmName="SHA-512" hashValue="OkMuteM6LS4pAyRUN+hDeQ/SfhYOk15OqIk5PdhPM+WEESaHLG//j7mHYIzUUYDAt6vQ6G9aX7yUBiEuSygxSA==" saltValue="t9RvUW60MUvb8vkh7JVnTQ==" spinCount="100000" sqref="C37:C39" name="Range1_3" securityDescriptor="O:WDG:WDD:(A;;CC;;;S-1-5-21-3219648850-738124763-203175933-17295)(A;;CC;;;S-1-5-21-3219648850-738124763-203175933-17298)(A;;CC;;;S-1-5-21-3219648850-738124763-203175933-17299)"/>
    <protectedRange algorithmName="SHA-512" hashValue="i1OqnqUb6hxktEKBlspluAfb416+mPj+7NhiaX+4NrYiWmMIx8Zr5MU+2jqUmu3XcoW8kuXguUuXUrdbYqggxg==" saltValue="cOfRTyrIoxSp+Q5cnf9HCA==" spinCount="100000" sqref="E37:E39" name="Range1_4" securityDescriptor="O:WDG:WDD:(A;;CC;;;S-1-5-21-3219648850-738124763-203175933-17295)(A;;CC;;;S-1-5-21-3219648850-738124763-203175933-17298)(A;;CC;;;S-1-5-21-3219648850-738124763-203175933-17299)"/>
    <protectedRange algorithmName="SHA-512" hashValue="7SdmurgsOvnpFTgdej3G1nK1NLS9wYcDxjWkAXYSh9jWPLkQIZIORB2WwNd/4+4Xt9kgj1DaP8q88kHlktqyew==" saltValue="Io8y72ztZbv6uokfZOA2ug==" spinCount="100000" sqref="F37:F39" name="Range1_5" securityDescriptor="O:WDG:WDD:(A;;CC;;;S-1-5-21-3219648850-738124763-203175933-17295)(A;;CC;;;S-1-5-21-3219648850-738124763-203175933-17298)(A;;CC;;;S-1-5-21-3219648850-738124763-203175933-17299)"/>
    <protectedRange password="CA89" sqref="A57" name="Range1_6" securityDescriptor="O:WDG:WDD:(A;;CC;;;S-1-5-21-3219648850-738124763-203175933-17295)(A;;CC;;;S-1-5-21-3219648850-738124763-203175933-17298)(A;;CC;;;S-1-5-21-3219648850-738124763-203175933-17299)"/>
  </protectedRanges>
  <mergeCells count="1">
    <mergeCell ref="A57:F57"/>
  </mergeCells>
  <conditionalFormatting sqref="A40:XFD41 A58:XFD1048576 G57:XFD57 A56:XFD56 A42:A50 A55 G42:XFD54 A51:F54 H55:XFD55 A32:A33 D32 B33:E33 A34:E35 G15:XFD35 A4:XFD4 G1:XFD3 A6:XFD14 A15:E31">
    <cfRule type="expression" priority="25" stopIfTrue="1">
      <formula>CELL("protect",A1)=1</formula>
    </cfRule>
    <cfRule type="expression" dxfId="89" priority="26">
      <formula>CELL("protect",A1)=1</formula>
    </cfRule>
  </conditionalFormatting>
  <conditionalFormatting sqref="A57">
    <cfRule type="expression" priority="19" stopIfTrue="1">
      <formula>CELL("protect",A57)=1</formula>
    </cfRule>
    <cfRule type="expression" dxfId="88" priority="20">
      <formula>CELL("protect",A57)=1</formula>
    </cfRule>
  </conditionalFormatting>
  <conditionalFormatting sqref="B42:F42">
    <cfRule type="expression" priority="17" stopIfTrue="1">
      <formula>CELL("protect",B42)=1</formula>
    </cfRule>
    <cfRule type="expression" dxfId="87" priority="18">
      <formula>CELL("protect",B42)=1</formula>
    </cfRule>
  </conditionalFormatting>
  <conditionalFormatting sqref="B42:F42 B51:F54">
    <cfRule type="cellIs" dxfId="86" priority="15" operator="lessThan">
      <formula>0</formula>
    </cfRule>
    <cfRule type="cellIs" dxfId="85" priority="16" operator="greaterThan">
      <formula>0</formula>
    </cfRule>
  </conditionalFormatting>
  <conditionalFormatting sqref="B43:F50">
    <cfRule type="expression" priority="13" stopIfTrue="1">
      <formula>CELL("protect",B43)=1</formula>
    </cfRule>
    <cfRule type="expression" dxfId="84" priority="14">
      <formula>CELL("protect",B43)=1</formula>
    </cfRule>
  </conditionalFormatting>
  <conditionalFormatting sqref="B43:F50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F33:F35 F15:F31">
    <cfRule type="expression" priority="9" stopIfTrue="1">
      <formula>CELL("protect",F15)=1</formula>
    </cfRule>
    <cfRule type="expression" dxfId="81" priority="10">
      <formula>CELL("protect",F15)=1</formula>
    </cfRule>
  </conditionalFormatting>
  <conditionalFormatting sqref="A1:F3">
    <cfRule type="expression" priority="7" stopIfTrue="1">
      <formula>CELL("protect",A1)=1</formula>
    </cfRule>
    <cfRule type="expression" dxfId="80" priority="8">
      <formula>CELL("protect",A1)=1</formula>
    </cfRule>
  </conditionalFormatting>
  <conditionalFormatting sqref="A5:XFD5">
    <cfRule type="expression" priority="3" stopIfTrue="1">
      <formula>CELL("protect",A5)=1</formula>
    </cfRule>
    <cfRule type="expression" dxfId="79" priority="4">
      <formula>CELL("protect",A5)=1</formula>
    </cfRule>
  </conditionalFormatting>
  <conditionalFormatting sqref="A36:XFD39">
    <cfRule type="expression" priority="1" stopIfTrue="1">
      <formula>CELL("protect",A36)=1</formula>
    </cfRule>
    <cfRule type="expression" dxfId="78" priority="2">
      <formula>CELL("protect",A36)=1</formula>
    </cfRule>
  </conditionalFormatting>
  <pageMargins left="0.7" right="0.7" top="0.75" bottom="0.75" header="0.3" footer="0.3"/>
  <pageSetup scale="80" orientation="portrait" blackAndWhite="1" r:id="rId1"/>
  <ignoredErrors>
    <ignoredError sqref="B6:C6 E6:F6 B7:F7 B16:F17 B34:F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showGridLines="0" zoomScale="120" zoomScaleNormal="120" workbookViewId="0">
      <pane ySplit="3" topLeftCell="A7" activePane="bottomLeft" state="frozen"/>
      <selection pane="bottomLeft" activeCell="H1" sqref="H1"/>
    </sheetView>
  </sheetViews>
  <sheetFormatPr defaultColWidth="8.75" defaultRowHeight="14.25" x14ac:dyDescent="0.2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8" width="8.75" style="1"/>
    <col min="9" max="9" width="12.125" style="1" bestFit="1" customWidth="1"/>
    <col min="10" max="16384" width="8.75" style="1"/>
  </cols>
  <sheetData>
    <row r="1" spans="1:8" ht="12" customHeight="1" x14ac:dyDescent="0.25">
      <c r="A1" s="18"/>
      <c r="B1" s="19"/>
      <c r="C1" s="20"/>
      <c r="D1" s="20"/>
      <c r="E1" s="20"/>
      <c r="F1" s="20" t="s">
        <v>91</v>
      </c>
      <c r="G1" s="21"/>
      <c r="H1" s="5"/>
    </row>
    <row r="2" spans="1:8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  <c r="H2" s="5"/>
    </row>
    <row r="3" spans="1:8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  <c r="H3" s="5"/>
    </row>
    <row r="4" spans="1:8" s="2" customFormat="1" ht="12" customHeight="1" x14ac:dyDescent="0.25">
      <c r="A4" s="5"/>
      <c r="B4" s="5"/>
      <c r="C4" s="5"/>
      <c r="D4" s="5"/>
      <c r="E4" s="5"/>
      <c r="F4" s="5"/>
      <c r="G4" s="53"/>
      <c r="H4" s="5"/>
    </row>
    <row r="5" spans="1:8" s="2" customFormat="1" ht="12" customHeight="1" x14ac:dyDescent="0.25">
      <c r="A5" s="33" t="s">
        <v>18</v>
      </c>
      <c r="B5" s="33"/>
      <c r="C5" s="77">
        <f>4962551+550386+13917+0</f>
        <v>5526854</v>
      </c>
      <c r="D5" s="77">
        <f>6374990+0+0+700000</f>
        <v>7074990</v>
      </c>
      <c r="E5" s="34"/>
      <c r="F5" s="77">
        <v>6585162</v>
      </c>
      <c r="G5" s="53"/>
      <c r="H5" s="5"/>
    </row>
    <row r="6" spans="1:8" s="54" customFormat="1" ht="12" customHeight="1" x14ac:dyDescent="0.25">
      <c r="A6" s="51" t="s">
        <v>45</v>
      </c>
      <c r="B6" s="51"/>
      <c r="C6" s="64">
        <f>420442114+0</f>
        <v>420442114</v>
      </c>
      <c r="D6" s="64">
        <f>492090126+37551598</f>
        <v>529641724</v>
      </c>
      <c r="E6" s="52"/>
      <c r="F6" s="64">
        <f>378677351+0</f>
        <v>378677351</v>
      </c>
      <c r="G6" s="53"/>
      <c r="H6" s="50"/>
    </row>
    <row r="7" spans="1:8" s="2" customFormat="1" ht="12" customHeight="1" x14ac:dyDescent="0.25">
      <c r="A7" s="33" t="s">
        <v>24</v>
      </c>
      <c r="B7" s="33"/>
      <c r="C7" s="68">
        <v>375164</v>
      </c>
      <c r="D7" s="68">
        <v>492000</v>
      </c>
      <c r="E7" s="47"/>
      <c r="F7" s="68">
        <v>492000</v>
      </c>
      <c r="G7" s="53"/>
      <c r="H7" s="5"/>
    </row>
    <row r="8" spans="1:8" s="54" customFormat="1" ht="12" customHeight="1" x14ac:dyDescent="0.25">
      <c r="A8" s="51" t="s">
        <v>25</v>
      </c>
      <c r="B8" s="51"/>
      <c r="C8" s="64">
        <v>268296</v>
      </c>
      <c r="D8" s="64">
        <v>6050514</v>
      </c>
      <c r="E8" s="55"/>
      <c r="F8" s="64">
        <v>6050642</v>
      </c>
      <c r="G8" s="53"/>
      <c r="H8" s="50"/>
    </row>
    <row r="9" spans="1:8" s="2" customFormat="1" ht="12" customHeight="1" x14ac:dyDescent="0.25">
      <c r="A9" s="33" t="s">
        <v>56</v>
      </c>
      <c r="B9" s="33"/>
      <c r="C9" s="80">
        <v>150283</v>
      </c>
      <c r="D9" s="80">
        <v>400000</v>
      </c>
      <c r="E9" s="34"/>
      <c r="F9" s="80">
        <v>400000</v>
      </c>
      <c r="G9" s="53"/>
      <c r="H9" s="5"/>
    </row>
    <row r="10" spans="1:8" s="2" customFormat="1" ht="12" customHeight="1" x14ac:dyDescent="0.25">
      <c r="A10" s="51" t="s">
        <v>76</v>
      </c>
      <c r="B10" s="51"/>
      <c r="C10" s="64">
        <f>798334131+33110364+0</f>
        <v>831444495</v>
      </c>
      <c r="D10" s="64">
        <f>1322835334+75822012+25000000</f>
        <v>1423657346</v>
      </c>
      <c r="E10" s="55"/>
      <c r="F10" s="64">
        <f>1094174657+54096701</f>
        <v>1148271358</v>
      </c>
      <c r="G10" s="53"/>
      <c r="H10" s="5"/>
    </row>
    <row r="11" spans="1:8" s="2" customFormat="1" ht="12" customHeight="1" x14ac:dyDescent="0.25">
      <c r="A11" s="33" t="s">
        <v>77</v>
      </c>
      <c r="B11" s="33"/>
      <c r="C11" s="80">
        <v>13296751</v>
      </c>
      <c r="D11" s="80">
        <v>29410199</v>
      </c>
      <c r="E11" s="34"/>
      <c r="F11" s="80">
        <v>33421374</v>
      </c>
      <c r="G11" s="53"/>
      <c r="H11" s="5"/>
    </row>
    <row r="12" spans="1:8" s="2" customFormat="1" ht="13.5" customHeight="1" x14ac:dyDescent="0.25">
      <c r="A12" s="51" t="s">
        <v>90</v>
      </c>
      <c r="B12" s="51"/>
      <c r="C12" s="112">
        <f>25000000+2000000+339500+0+0</f>
        <v>27339500</v>
      </c>
      <c r="D12" s="112">
        <f>2500000+0+0+0+25000</f>
        <v>2525000</v>
      </c>
      <c r="E12" s="55"/>
      <c r="F12" s="112">
        <v>2500000</v>
      </c>
      <c r="G12" s="53"/>
      <c r="H12" s="5"/>
    </row>
    <row r="13" spans="1:8" s="5" customFormat="1" ht="12" customHeight="1" x14ac:dyDescent="0.25">
      <c r="A13" s="36" t="s">
        <v>26</v>
      </c>
      <c r="B13" s="36"/>
      <c r="C13" s="122">
        <f>SUM(C5:C12)</f>
        <v>1298843457</v>
      </c>
      <c r="D13" s="122">
        <f t="shared" ref="D13:F13" si="0">SUM(D5:D12)</f>
        <v>1999251773</v>
      </c>
      <c r="E13" s="36"/>
      <c r="F13" s="122">
        <f t="shared" si="0"/>
        <v>1576397887</v>
      </c>
      <c r="G13" s="6"/>
    </row>
    <row r="14" spans="1:8" s="5" customFormat="1" ht="12" customHeight="1" x14ac:dyDescent="0.25">
      <c r="A14" s="95" t="s">
        <v>6</v>
      </c>
      <c r="B14" s="123"/>
      <c r="C14" s="78">
        <v>20492193</v>
      </c>
      <c r="D14" s="78">
        <v>38955730</v>
      </c>
      <c r="E14" s="78"/>
      <c r="F14" s="78">
        <v>42882524</v>
      </c>
    </row>
    <row r="15" spans="1:8" s="5" customFormat="1" ht="12" customHeight="1" x14ac:dyDescent="0.25">
      <c r="A15" s="37" t="s">
        <v>7</v>
      </c>
      <c r="B15" s="48"/>
      <c r="C15" s="68">
        <f>0+419531605+27000000+213757193+617687302</f>
        <v>1277976100</v>
      </c>
      <c r="D15" s="68">
        <f>50514+535396183+0+175299071+1248358275</f>
        <v>1959104043</v>
      </c>
      <c r="E15" s="68"/>
      <c r="F15" s="68">
        <f>50642+384701363+0+22012626+1126258732</f>
        <v>1533023363</v>
      </c>
    </row>
    <row r="16" spans="1:8" s="5" customFormat="1" ht="12" customHeight="1" x14ac:dyDescent="0.25">
      <c r="A16" s="95" t="s">
        <v>8</v>
      </c>
      <c r="B16" s="123"/>
      <c r="C16" s="78">
        <f>375164+0</f>
        <v>375164</v>
      </c>
      <c r="D16" s="78">
        <f>492000+700000</f>
        <v>1192000</v>
      </c>
      <c r="E16" s="78"/>
      <c r="F16" s="78">
        <v>492000</v>
      </c>
    </row>
    <row r="17" spans="1:13" ht="12" customHeight="1" thickBot="1" x14ac:dyDescent="0.3">
      <c r="A17" s="50"/>
      <c r="B17" s="50"/>
      <c r="C17" s="109"/>
      <c r="D17" s="109"/>
      <c r="E17" s="109"/>
      <c r="F17" s="109"/>
      <c r="G17" s="53"/>
      <c r="H17" s="5"/>
    </row>
    <row r="18" spans="1:13" ht="12" customHeight="1" thickBot="1" x14ac:dyDescent="0.3">
      <c r="A18" s="41" t="s">
        <v>5</v>
      </c>
      <c r="B18" s="42"/>
      <c r="C18" s="56">
        <v>80.27</v>
      </c>
      <c r="D18" s="56">
        <v>83</v>
      </c>
      <c r="E18" s="56"/>
      <c r="F18" s="56">
        <v>87</v>
      </c>
      <c r="G18" s="45"/>
      <c r="H18" s="5"/>
    </row>
    <row r="19" spans="1:13" ht="15" x14ac:dyDescent="0.25">
      <c r="A19" s="5"/>
      <c r="B19" s="5"/>
      <c r="C19" s="5"/>
      <c r="D19" s="5"/>
      <c r="E19" s="5"/>
      <c r="F19" s="5"/>
      <c r="G19" s="5"/>
      <c r="H19" s="5"/>
    </row>
    <row r="20" spans="1:13" ht="15" x14ac:dyDescent="0.25">
      <c r="A20" s="5"/>
      <c r="B20" s="5"/>
      <c r="C20" s="5"/>
      <c r="D20" s="5"/>
      <c r="E20" s="5"/>
      <c r="F20" s="5"/>
      <c r="G20" s="5"/>
      <c r="H20" s="5"/>
      <c r="M20" s="87"/>
    </row>
    <row r="21" spans="1:13" ht="15" x14ac:dyDescent="0.25">
      <c r="A21" s="3"/>
      <c r="B21" s="4"/>
      <c r="C21" s="13"/>
      <c r="D21" s="13"/>
      <c r="E21" s="5"/>
      <c r="F21" s="13"/>
      <c r="G21" s="2"/>
    </row>
  </sheetData>
  <sheetProtection formatCells="0" insertRows="0" selectLockedCells="1"/>
  <protectedRanges>
    <protectedRange password="CA89" sqref="B4:G4 B5 E5 G5 B8:B10 E8:E10 B6:G7 A4:A10 G8:G10 A11:G22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10" name="Range1_3" securityDescriptor="O:WDG:WDD:(A;;CC;;;S-1-5-21-3219648850-738124763-203175933-17295)(A;;CC;;;S-1-5-21-3219648850-738124763-203175933-17298)(A;;CC;;;S-1-5-21-3219648850-738124763-203175933-17299)"/>
    <protectedRange password="CA89" sqref="F8:F10" name="Range1_4" securityDescriptor="O:WDG:WDD:(A;;CC;;;S-1-5-21-3219648850-738124763-203175933-17295)(A;;CC;;;S-1-5-21-3219648850-738124763-203175933-17298)(A;;CC;;;S-1-5-21-3219648850-738124763-203175933-17299)"/>
    <protectedRange password="CA89" sqref="A1:G3" name="Range1_5" securityDescriptor="O:WDG:WDD:(A;;CC;;;S-1-5-21-3219648850-738124763-203175933-17295)(A;;CC;;;S-1-5-21-3219648850-738124763-203175933-17298)(A;;CC;;;S-1-5-21-3219648850-738124763-203175933-17299)"/>
  </protectedRanges>
  <conditionalFormatting sqref="H1:XFD3 A22:XFD1048576 A21:B21 G21:XFD21 A17:XFD20 A4:XFD9 G10:XFD10 A11:XFD11 G12:XFD12">
    <cfRule type="expression" dxfId="77" priority="103">
      <formula>CELL("protect",A1)=1</formula>
    </cfRule>
  </conditionalFormatting>
  <conditionalFormatting sqref="A17:G18 A4:G9 G10 A11:G11 G12">
    <cfRule type="expression" priority="102" stopIfTrue="1">
      <formula>CELL("protect",A4)=1</formula>
    </cfRule>
  </conditionalFormatting>
  <conditionalFormatting sqref="A1:G3">
    <cfRule type="expression" priority="97" stopIfTrue="1">
      <formula>CELL("protect",A1)=1</formula>
    </cfRule>
    <cfRule type="expression" dxfId="76" priority="98">
      <formula>CELL("protect",A1)=1</formula>
    </cfRule>
  </conditionalFormatting>
  <conditionalFormatting sqref="C21:F21">
    <cfRule type="expression" priority="95" stopIfTrue="1">
      <formula>CELL("protect",C21)=1</formula>
    </cfRule>
    <cfRule type="expression" dxfId="75" priority="96">
      <formula>CELL("protect",C21)=1</formula>
    </cfRule>
  </conditionalFormatting>
  <conditionalFormatting sqref="C21:F21"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F10">
    <cfRule type="expression" priority="75" stopIfTrue="1">
      <formula>CELL("protect",F10)=1</formula>
    </cfRule>
    <cfRule type="expression" dxfId="72" priority="76">
      <formula>CELL("protect",F10)=1</formula>
    </cfRule>
  </conditionalFormatting>
  <conditionalFormatting sqref="C10">
    <cfRule type="expression" priority="71" stopIfTrue="1">
      <formula>CELL("protect",C10)=1</formula>
    </cfRule>
    <cfRule type="expression" dxfId="71" priority="72">
      <formula>CELL("protect",C10)=1</formula>
    </cfRule>
  </conditionalFormatting>
  <conditionalFormatting sqref="A10:B10 E10">
    <cfRule type="expression" dxfId="70" priority="78">
      <formula>CELL("protect",A10)=1</formula>
    </cfRule>
  </conditionalFormatting>
  <conditionalFormatting sqref="A10:B10 E10">
    <cfRule type="expression" priority="77" stopIfTrue="1">
      <formula>CELL("protect",A10)=1</formula>
    </cfRule>
  </conditionalFormatting>
  <conditionalFormatting sqref="D10">
    <cfRule type="expression" priority="73" stopIfTrue="1">
      <formula>CELL("protect",D10)=1</formula>
    </cfRule>
    <cfRule type="expression" dxfId="69" priority="74">
      <formula>CELL("protect",D10)=1</formula>
    </cfRule>
  </conditionalFormatting>
  <conditionalFormatting sqref="D9">
    <cfRule type="expression" priority="61" stopIfTrue="1">
      <formula>CELL("protect",D9)=1</formula>
    </cfRule>
    <cfRule type="expression" dxfId="68" priority="62">
      <formula>CELL("protect",D9)=1</formula>
    </cfRule>
  </conditionalFormatting>
  <conditionalFormatting sqref="F9">
    <cfRule type="expression" priority="63" stopIfTrue="1">
      <formula>CELL("protect",F9)=1</formula>
    </cfRule>
    <cfRule type="expression" dxfId="67" priority="64">
      <formula>CELL("protect",F9)=1</formula>
    </cfRule>
  </conditionalFormatting>
  <conditionalFormatting sqref="C9">
    <cfRule type="expression" priority="59" stopIfTrue="1">
      <formula>CELL("protect",C9)=1</formula>
    </cfRule>
    <cfRule type="expression" dxfId="66" priority="60">
      <formula>CELL("protect",C9)=1</formula>
    </cfRule>
  </conditionalFormatting>
  <conditionalFormatting sqref="A9:B9 E9">
    <cfRule type="expression" dxfId="65" priority="66">
      <formula>CELL("protect",A9)=1</formula>
    </cfRule>
  </conditionalFormatting>
  <conditionalFormatting sqref="A9:B9 E9">
    <cfRule type="expression" priority="65" stopIfTrue="1">
      <formula>CELL("protect",A9)=1</formula>
    </cfRule>
  </conditionalFormatting>
  <conditionalFormatting sqref="A10:F10">
    <cfRule type="expression" dxfId="64" priority="58">
      <formula>CELL("protect",A10)=1</formula>
    </cfRule>
  </conditionalFormatting>
  <conditionalFormatting sqref="A10:F10">
    <cfRule type="expression" priority="57" stopIfTrue="1">
      <formula>CELL("protect",A10)=1</formula>
    </cfRule>
  </conditionalFormatting>
  <conditionalFormatting sqref="D11">
    <cfRule type="expression" priority="15" stopIfTrue="1">
      <formula>CELL("protect",D11)=1</formula>
    </cfRule>
    <cfRule type="expression" dxfId="63" priority="16">
      <formula>CELL("protect",D11)=1</formula>
    </cfRule>
  </conditionalFormatting>
  <conditionalFormatting sqref="F11">
    <cfRule type="expression" priority="17" stopIfTrue="1">
      <formula>CELL("protect",F11)=1</formula>
    </cfRule>
    <cfRule type="expression" dxfId="62" priority="18">
      <formula>CELL("protect",F11)=1</formula>
    </cfRule>
  </conditionalFormatting>
  <conditionalFormatting sqref="C11">
    <cfRule type="expression" priority="13" stopIfTrue="1">
      <formula>CELL("protect",C11)=1</formula>
    </cfRule>
    <cfRule type="expression" dxfId="61" priority="14">
      <formula>CELL("protect",C11)=1</formula>
    </cfRule>
  </conditionalFormatting>
  <conditionalFormatting sqref="A11:B11 E11">
    <cfRule type="expression" dxfId="60" priority="20">
      <formula>CELL("protect",A11)=1</formula>
    </cfRule>
  </conditionalFormatting>
  <conditionalFormatting sqref="A11:B11 E11">
    <cfRule type="expression" priority="19" stopIfTrue="1">
      <formula>CELL("protect",A11)=1</formula>
    </cfRule>
  </conditionalFormatting>
  <conditionalFormatting sqref="F12">
    <cfRule type="expression" priority="9" stopIfTrue="1">
      <formula>CELL("protect",F12)=1</formula>
    </cfRule>
    <cfRule type="expression" dxfId="59" priority="10">
      <formula>CELL("protect",F12)=1</formula>
    </cfRule>
  </conditionalFormatting>
  <conditionalFormatting sqref="C12">
    <cfRule type="expression" priority="5" stopIfTrue="1">
      <formula>CELL("protect",C12)=1</formula>
    </cfRule>
    <cfRule type="expression" dxfId="58" priority="6">
      <formula>CELL("protect",C12)=1</formula>
    </cfRule>
  </conditionalFormatting>
  <conditionalFormatting sqref="A12:B12 E12">
    <cfRule type="expression" dxfId="57" priority="12">
      <formula>CELL("protect",A12)=1</formula>
    </cfRule>
  </conditionalFormatting>
  <conditionalFormatting sqref="A12:B12 E12">
    <cfRule type="expression" priority="11" stopIfTrue="1">
      <formula>CELL("protect",A12)=1</formula>
    </cfRule>
  </conditionalFormatting>
  <conditionalFormatting sqref="D12">
    <cfRule type="expression" priority="7" stopIfTrue="1">
      <formula>CELL("protect",D12)=1</formula>
    </cfRule>
    <cfRule type="expression" dxfId="56" priority="8">
      <formula>CELL("protect",D12)=1</formula>
    </cfRule>
  </conditionalFormatting>
  <conditionalFormatting sqref="A12:F12">
    <cfRule type="expression" dxfId="55" priority="4">
      <formula>CELL("protect",A12)=1</formula>
    </cfRule>
  </conditionalFormatting>
  <conditionalFormatting sqref="A12:F12">
    <cfRule type="expression" priority="3" stopIfTrue="1">
      <formula>CELL("protect",A12)=1</formula>
    </cfRule>
  </conditionalFormatting>
  <conditionalFormatting sqref="A13:XFD16">
    <cfRule type="expression" priority="1" stopIfTrue="1">
      <formula>CELL("protect",A13)=1</formula>
    </cfRule>
    <cfRule type="expression" dxfId="54" priority="2">
      <formula>CELL("protect",A13)=1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showGridLines="0" zoomScaleNormal="100" workbookViewId="0">
      <pane ySplit="3" topLeftCell="A4" activePane="bottomLeft" state="frozen"/>
      <selection pane="bottomLeft" activeCell="B1" sqref="B1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9" width="8.75" style="5"/>
    <col min="10" max="10" width="11.625" style="5" customWidth="1"/>
    <col min="11" max="11" width="12.625" style="5" customWidth="1"/>
    <col min="12" max="16384" width="8.75" style="5"/>
  </cols>
  <sheetData>
    <row r="1" spans="1:7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7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7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7" ht="12" customHeight="1" x14ac:dyDescent="0.25">
      <c r="G4" s="53"/>
    </row>
    <row r="5" spans="1:7" ht="12" customHeight="1" x14ac:dyDescent="0.25">
      <c r="A5" s="33" t="s">
        <v>27</v>
      </c>
      <c r="B5" s="33"/>
      <c r="C5" s="77">
        <f>2623847311+954484579</f>
        <v>3578331890</v>
      </c>
      <c r="D5" s="77">
        <f>2667947176+996884018</f>
        <v>3664831194</v>
      </c>
      <c r="E5" s="33"/>
      <c r="F5" s="77">
        <f>2758501472+1026929350</f>
        <v>3785430822</v>
      </c>
      <c r="G5" s="6"/>
    </row>
    <row r="6" spans="1:7" ht="12" customHeight="1" x14ac:dyDescent="0.25">
      <c r="A6" s="51" t="s">
        <v>28</v>
      </c>
      <c r="B6" s="51"/>
      <c r="C6" s="64">
        <v>15000000</v>
      </c>
      <c r="D6" s="64">
        <v>15000000</v>
      </c>
      <c r="E6" s="51"/>
      <c r="F6" s="64">
        <v>15000000</v>
      </c>
      <c r="G6" s="53"/>
    </row>
    <row r="7" spans="1:7" s="125" customFormat="1" ht="12" customHeight="1" x14ac:dyDescent="0.2">
      <c r="A7" s="33" t="s">
        <v>29</v>
      </c>
      <c r="B7" s="124"/>
      <c r="C7" s="68">
        <v>321407142</v>
      </c>
      <c r="D7" s="68">
        <v>347297933</v>
      </c>
      <c r="E7" s="33"/>
      <c r="F7" s="68">
        <v>361366614</v>
      </c>
    </row>
    <row r="8" spans="1:7" ht="12" customHeight="1" x14ac:dyDescent="0.25">
      <c r="A8" s="51" t="s">
        <v>30</v>
      </c>
      <c r="B8" s="51"/>
      <c r="C8" s="64">
        <v>50069028</v>
      </c>
      <c r="D8" s="64">
        <v>50070590</v>
      </c>
      <c r="E8" s="51"/>
      <c r="F8" s="64">
        <v>52070590</v>
      </c>
      <c r="G8" s="53"/>
    </row>
    <row r="9" spans="1:7" s="125" customFormat="1" ht="12" customHeight="1" x14ac:dyDescent="0.2">
      <c r="A9" s="33" t="s">
        <v>31</v>
      </c>
      <c r="B9" s="124"/>
      <c r="C9" s="68">
        <v>1181958000</v>
      </c>
      <c r="D9" s="68">
        <v>1187660000</v>
      </c>
      <c r="E9" s="33"/>
      <c r="F9" s="68">
        <v>1306961000</v>
      </c>
    </row>
    <row r="10" spans="1:7" ht="12" customHeight="1" x14ac:dyDescent="0.25">
      <c r="A10" s="51" t="s">
        <v>81</v>
      </c>
      <c r="B10" s="51"/>
      <c r="C10" s="64">
        <v>21546240</v>
      </c>
      <c r="D10" s="64">
        <v>69325050</v>
      </c>
      <c r="E10" s="51"/>
      <c r="F10" s="64">
        <v>75125050</v>
      </c>
      <c r="G10" s="53"/>
    </row>
    <row r="11" spans="1:7" s="125" customFormat="1" ht="12" customHeight="1" x14ac:dyDescent="0.2">
      <c r="A11" s="33" t="s">
        <v>89</v>
      </c>
      <c r="B11" s="124"/>
      <c r="C11" s="68">
        <v>0</v>
      </c>
      <c r="D11" s="68">
        <v>26084588</v>
      </c>
      <c r="E11" s="33"/>
      <c r="F11" s="68">
        <f>26084588+55830843</f>
        <v>81915431</v>
      </c>
    </row>
    <row r="12" spans="1:7" ht="12" customHeight="1" x14ac:dyDescent="0.25">
      <c r="A12" s="51" t="s">
        <v>60</v>
      </c>
      <c r="B12" s="51"/>
      <c r="C12" s="64">
        <f>79063</f>
        <v>79063</v>
      </c>
      <c r="D12" s="64">
        <v>1089778</v>
      </c>
      <c r="E12" s="51"/>
      <c r="F12" s="64">
        <v>589778</v>
      </c>
      <c r="G12" s="53"/>
    </row>
    <row r="13" spans="1:7" s="125" customFormat="1" ht="12" customHeight="1" x14ac:dyDescent="0.2">
      <c r="A13" s="33" t="s">
        <v>61</v>
      </c>
      <c r="B13" s="124"/>
      <c r="C13" s="68">
        <v>970000</v>
      </c>
      <c r="D13" s="68">
        <v>1000000</v>
      </c>
      <c r="E13" s="33"/>
      <c r="F13" s="68">
        <v>1000000</v>
      </c>
    </row>
    <row r="14" spans="1:7" ht="12" customHeight="1" x14ac:dyDescent="0.25">
      <c r="A14" s="51" t="s">
        <v>32</v>
      </c>
      <c r="B14" s="51"/>
      <c r="C14" s="64">
        <v>1649000</v>
      </c>
      <c r="D14" s="64">
        <v>1700000</v>
      </c>
      <c r="E14" s="51"/>
      <c r="F14" s="64">
        <v>1700000</v>
      </c>
      <c r="G14" s="53"/>
    </row>
    <row r="15" spans="1:7" s="125" customFormat="1" ht="12" customHeight="1" x14ac:dyDescent="0.2">
      <c r="A15" s="33" t="s">
        <v>54</v>
      </c>
      <c r="B15" s="124"/>
      <c r="C15" s="68">
        <v>242500</v>
      </c>
      <c r="D15" s="68">
        <v>370000</v>
      </c>
      <c r="E15" s="33"/>
      <c r="F15" s="68">
        <v>370000</v>
      </c>
    </row>
    <row r="16" spans="1:7" ht="12" customHeight="1" x14ac:dyDescent="0.25">
      <c r="A16" s="51" t="s">
        <v>55</v>
      </c>
      <c r="B16" s="51"/>
      <c r="C16" s="64">
        <v>188245</v>
      </c>
      <c r="D16" s="64">
        <v>450000</v>
      </c>
      <c r="E16" s="51"/>
      <c r="F16" s="64">
        <v>450000</v>
      </c>
      <c r="G16" s="53"/>
    </row>
    <row r="17" spans="1:7" s="125" customFormat="1" ht="12" customHeight="1" x14ac:dyDescent="0.2">
      <c r="A17" s="33" t="s">
        <v>92</v>
      </c>
      <c r="B17" s="124"/>
      <c r="C17" s="68">
        <v>0</v>
      </c>
      <c r="D17" s="68">
        <v>2525000</v>
      </c>
      <c r="E17" s="33"/>
      <c r="F17" s="68">
        <v>2525000</v>
      </c>
    </row>
    <row r="18" spans="1:7" ht="13.5" customHeight="1" x14ac:dyDescent="0.25">
      <c r="A18" s="6" t="s">
        <v>17</v>
      </c>
      <c r="B18" s="6"/>
      <c r="C18" s="88">
        <f>100000+91953+100000</f>
        <v>291953</v>
      </c>
      <c r="D18" s="88">
        <f>0+106960+250000+2000000</f>
        <v>2356960</v>
      </c>
      <c r="E18" s="91"/>
      <c r="F18" s="88">
        <v>2000000</v>
      </c>
    </row>
    <row r="19" spans="1:7" ht="12" customHeight="1" x14ac:dyDescent="0.25">
      <c r="A19" s="36" t="s">
        <v>26</v>
      </c>
      <c r="B19" s="36"/>
      <c r="C19" s="122">
        <f>SUM(C5:C18)</f>
        <v>5171733061</v>
      </c>
      <c r="D19" s="122">
        <f>SUM(D5:D18)</f>
        <v>5369761093</v>
      </c>
      <c r="E19" s="122"/>
      <c r="F19" s="122">
        <f>SUM(F5:F18)</f>
        <v>5686504285</v>
      </c>
    </row>
    <row r="20" spans="1:7" ht="12" customHeight="1" x14ac:dyDescent="0.25">
      <c r="A20" s="95" t="s">
        <v>6</v>
      </c>
      <c r="C20" s="78">
        <v>3465316278</v>
      </c>
      <c r="D20" s="78">
        <v>3391295164</v>
      </c>
      <c r="E20" s="78"/>
      <c r="F20" s="78">
        <v>3588987356</v>
      </c>
    </row>
    <row r="21" spans="1:7" ht="12" customHeight="1" x14ac:dyDescent="0.25">
      <c r="A21" s="37" t="s">
        <v>7</v>
      </c>
      <c r="B21" s="49"/>
      <c r="C21" s="68">
        <v>200000</v>
      </c>
      <c r="D21" s="68">
        <f>250000+2000000</f>
        <v>2250000</v>
      </c>
      <c r="E21" s="68"/>
      <c r="F21" s="68">
        <f>0+2000000</f>
        <v>2000000</v>
      </c>
    </row>
    <row r="22" spans="1:7" ht="12" customHeight="1" x14ac:dyDescent="0.25">
      <c r="A22" s="95" t="s">
        <v>8</v>
      </c>
      <c r="C22" s="78">
        <f>49474+137313130+37890807+1181958000+349005372</f>
        <v>1706216783</v>
      </c>
      <c r="D22" s="78">
        <f>4814+354940565+69476039+1187660000+364134511</f>
        <v>1976215929</v>
      </c>
      <c r="E22" s="78"/>
      <c r="F22" s="78">
        <f>124826+314387114+69356027+1306961000+404687962</f>
        <v>2095516929</v>
      </c>
    </row>
    <row r="23" spans="1:7" ht="12" customHeight="1" thickBot="1" x14ac:dyDescent="0.3">
      <c r="A23" s="53"/>
      <c r="B23" s="53"/>
      <c r="C23" s="51"/>
      <c r="D23" s="51"/>
      <c r="E23" s="51"/>
      <c r="F23" s="51"/>
      <c r="G23" s="53"/>
    </row>
    <row r="24" spans="1:7" ht="12" customHeight="1" thickBot="1" x14ac:dyDescent="0.3">
      <c r="A24" s="41" t="s">
        <v>5</v>
      </c>
      <c r="B24" s="42"/>
      <c r="C24" s="43">
        <v>0.67</v>
      </c>
      <c r="D24" s="43">
        <v>1</v>
      </c>
      <c r="E24" s="44"/>
      <c r="F24" s="43">
        <v>0</v>
      </c>
      <c r="G24" s="45"/>
    </row>
    <row r="27" spans="1:7" x14ac:dyDescent="0.25">
      <c r="A27" s="12"/>
      <c r="B27" s="15"/>
      <c r="C27" s="13"/>
      <c r="D27" s="13"/>
      <c r="F27" s="13"/>
    </row>
    <row r="28" spans="1:7" x14ac:dyDescent="0.25">
      <c r="A28" s="15"/>
      <c r="B28" s="15"/>
      <c r="C28" s="17"/>
      <c r="D28" s="17"/>
      <c r="E28" s="17"/>
      <c r="F28" s="17"/>
    </row>
  </sheetData>
  <sheetProtection formatCells="0" insertRows="0" selectLockedCells="1"/>
  <protectedRanges>
    <protectedRange password="CA89" sqref="B4:G4 E5 A9:G9 B14:B18 A12:B13 A19:G28 A10:B10 A4:A8 B5:B8 G5:G8 G10 A11:G11 G12:G18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6:F8 C10:F10 C12:F18" name="Range1_5" securityDescriptor="O:WDG:WDD:(A;;CC;;;S-1-5-21-3219648850-738124763-203175933-17295)(A;;CC;;;S-1-5-21-3219648850-738124763-203175933-17298)(A;;CC;;;S-1-5-21-3219648850-738124763-203175933-17299)"/>
    <protectedRange password="CA89" sqref="A1:G3" name="Range1_5_2" securityDescriptor="O:WDG:WDD:(A;;CC;;;S-1-5-21-3219648850-738124763-203175933-17295)(A;;CC;;;S-1-5-21-3219648850-738124763-203175933-17298)(A;;CC;;;S-1-5-21-3219648850-738124763-203175933-17299)"/>
  </protectedRanges>
  <conditionalFormatting sqref="H1:XFD3 A23:XFD1048576 A4:XFD4 A8:XFD8 A12:XFD12 A10:XFD10 A14:XFD14 A16:XFD16">
    <cfRule type="expression" priority="62" stopIfTrue="1">
      <formula>CELL("protect",A1)=1</formula>
    </cfRule>
    <cfRule type="expression" dxfId="53" priority="63">
      <formula>CELL("protect",A1)=1</formula>
    </cfRule>
  </conditionalFormatting>
  <conditionalFormatting sqref="C27:F27">
    <cfRule type="cellIs" dxfId="52" priority="59" operator="lessThan">
      <formula>0</formula>
    </cfRule>
    <cfRule type="cellIs" dxfId="51" priority="61" operator="greaterThan">
      <formula>0</formula>
    </cfRule>
  </conditionalFormatting>
  <conditionalFormatting sqref="A1:G3">
    <cfRule type="expression" priority="51" stopIfTrue="1">
      <formula>CELL("protect",A1)=1</formula>
    </cfRule>
    <cfRule type="expression" dxfId="50" priority="52">
      <formula>CELL("protect",A1)=1</formula>
    </cfRule>
  </conditionalFormatting>
  <conditionalFormatting sqref="A5:XFD5">
    <cfRule type="expression" priority="25" stopIfTrue="1">
      <formula>CELL("protect",A5)=1</formula>
    </cfRule>
    <cfRule type="expression" dxfId="49" priority="26">
      <formula>CELL("protect",A5)=1</formula>
    </cfRule>
  </conditionalFormatting>
  <conditionalFormatting sqref="A7:XFD7">
    <cfRule type="expression" priority="21" stopIfTrue="1">
      <formula>CELL("protect",A7)=1</formula>
    </cfRule>
    <cfRule type="expression" dxfId="48" priority="22">
      <formula>CELL("protect",A7)=1</formula>
    </cfRule>
  </conditionalFormatting>
  <conditionalFormatting sqref="A9:XFD9">
    <cfRule type="expression" priority="19" stopIfTrue="1">
      <formula>CELL("protect",A9)=1</formula>
    </cfRule>
    <cfRule type="expression" dxfId="47" priority="20">
      <formula>CELL("protect",A9)=1</formula>
    </cfRule>
  </conditionalFormatting>
  <conditionalFormatting sqref="A11:XFD11">
    <cfRule type="expression" priority="17" stopIfTrue="1">
      <formula>CELL("protect",A11)=1</formula>
    </cfRule>
    <cfRule type="expression" dxfId="46" priority="18">
      <formula>CELL("protect",A11)=1</formula>
    </cfRule>
  </conditionalFormatting>
  <conditionalFormatting sqref="A13:XFD13">
    <cfRule type="expression" priority="15" stopIfTrue="1">
      <formula>CELL("protect",A13)=1</formula>
    </cfRule>
    <cfRule type="expression" dxfId="45" priority="16">
      <formula>CELL("protect",A13)=1</formula>
    </cfRule>
  </conditionalFormatting>
  <conditionalFormatting sqref="A15:XFD15">
    <cfRule type="expression" priority="13" stopIfTrue="1">
      <formula>CELL("protect",A15)=1</formula>
    </cfRule>
    <cfRule type="expression" dxfId="44" priority="14">
      <formula>CELL("protect",A15)=1</formula>
    </cfRule>
  </conditionalFormatting>
  <conditionalFormatting sqref="A17:XFD17">
    <cfRule type="expression" priority="11" stopIfTrue="1">
      <formula>CELL("protect",A17)=1</formula>
    </cfRule>
    <cfRule type="expression" dxfId="43" priority="12">
      <formula>CELL("protect",A17)=1</formula>
    </cfRule>
  </conditionalFormatting>
  <conditionalFormatting sqref="A19:XFD19">
    <cfRule type="expression" priority="7" stopIfTrue="1">
      <formula>CELL("protect",A19)=1</formula>
    </cfRule>
    <cfRule type="expression" dxfId="42" priority="8">
      <formula>CELL("protect",A19)=1</formula>
    </cfRule>
  </conditionalFormatting>
  <conditionalFormatting sqref="A20:XFD22">
    <cfRule type="expression" priority="5" stopIfTrue="1">
      <formula>CELL("protect",A20)=1</formula>
    </cfRule>
    <cfRule type="expression" dxfId="41" priority="6">
      <formula>CELL("protect",A20)=1</formula>
    </cfRule>
  </conditionalFormatting>
  <conditionalFormatting sqref="A18:XFD18">
    <cfRule type="expression" priority="3" stopIfTrue="1">
      <formula>CELL("protect",A18)=1</formula>
    </cfRule>
    <cfRule type="expression" dxfId="40" priority="4">
      <formula>CELL("protect",A18)=1</formula>
    </cfRule>
  </conditionalFormatting>
  <conditionalFormatting sqref="A6:XFD6">
    <cfRule type="expression" priority="1" stopIfTrue="1">
      <formula>CELL("protect",A6)=1</formula>
    </cfRule>
    <cfRule type="expression" dxfId="39" priority="2">
      <formula>CELL("protect",A6)=1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showGridLines="0" zoomScaleNormal="100" workbookViewId="0">
      <pane ySplit="3" topLeftCell="A4" activePane="bottomLeft" state="frozen"/>
      <selection pane="bottomLeft" activeCell="A58" sqref="A58:F59"/>
    </sheetView>
  </sheetViews>
  <sheetFormatPr defaultColWidth="8.75" defaultRowHeight="14.25" x14ac:dyDescent="0.25"/>
  <cols>
    <col min="1" max="1" width="41.5" style="5" customWidth="1"/>
    <col min="2" max="2" width="13.625" style="5" customWidth="1"/>
    <col min="3" max="3" width="14.125" style="5" customWidth="1"/>
    <col min="4" max="4" width="14" style="5" customWidth="1"/>
    <col min="5" max="5" width="1.625" style="5" customWidth="1"/>
    <col min="6" max="6" width="14.125" style="5" customWidth="1"/>
    <col min="7" max="7" width="1.625" style="5" customWidth="1"/>
    <col min="8" max="8" width="8.75" style="5"/>
    <col min="9" max="9" width="14.375" style="5" customWidth="1"/>
    <col min="10" max="16384" width="8.75" style="5"/>
  </cols>
  <sheetData>
    <row r="1" spans="1:9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9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9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9" ht="12" customHeight="1" x14ac:dyDescent="0.25">
      <c r="G4" s="53"/>
      <c r="I4" s="53"/>
    </row>
    <row r="5" spans="1:9" ht="12" customHeight="1" x14ac:dyDescent="0.25">
      <c r="A5" s="33" t="s">
        <v>19</v>
      </c>
      <c r="B5" s="33"/>
      <c r="C5" s="77">
        <v>11039026</v>
      </c>
      <c r="D5" s="77">
        <v>15906031</v>
      </c>
      <c r="E5" s="33"/>
      <c r="F5" s="77">
        <v>17966804</v>
      </c>
      <c r="G5" s="6"/>
    </row>
    <row r="6" spans="1:9" ht="12" customHeight="1" x14ac:dyDescent="0.25">
      <c r="A6" s="6" t="s">
        <v>33</v>
      </c>
      <c r="B6" s="6"/>
      <c r="C6" s="78">
        <v>1610021</v>
      </c>
      <c r="D6" s="78">
        <v>3221303</v>
      </c>
      <c r="E6" s="78"/>
      <c r="F6" s="78">
        <v>3250164</v>
      </c>
      <c r="G6" s="6"/>
    </row>
    <row r="7" spans="1:9" ht="12" customHeight="1" x14ac:dyDescent="0.25">
      <c r="A7" s="33" t="s">
        <v>49</v>
      </c>
      <c r="B7" s="33"/>
      <c r="C7" s="68">
        <v>435748</v>
      </c>
      <c r="D7" s="68">
        <v>600020</v>
      </c>
      <c r="E7" s="68"/>
      <c r="F7" s="68">
        <v>600020</v>
      </c>
      <c r="G7" s="6"/>
    </row>
    <row r="8" spans="1:9" ht="12" customHeight="1" x14ac:dyDescent="0.25">
      <c r="A8" s="6" t="s">
        <v>34</v>
      </c>
      <c r="B8" s="6"/>
      <c r="C8" s="78">
        <f>257442278+21189185</f>
        <v>278631463</v>
      </c>
      <c r="D8" s="78">
        <f>247840470+31411225</f>
        <v>279251695</v>
      </c>
      <c r="E8" s="78"/>
      <c r="F8" s="78">
        <f>247840470+31411225</f>
        <v>279251695</v>
      </c>
      <c r="G8" s="6"/>
    </row>
    <row r="9" spans="1:9" ht="12" customHeight="1" x14ac:dyDescent="0.25">
      <c r="A9" s="33" t="s">
        <v>47</v>
      </c>
      <c r="B9" s="33"/>
      <c r="C9" s="68">
        <f>2984358+0</f>
        <v>2984358</v>
      </c>
      <c r="D9" s="68">
        <v>14149932</v>
      </c>
      <c r="E9" s="68"/>
      <c r="F9" s="68">
        <v>12414747</v>
      </c>
      <c r="G9" s="6"/>
    </row>
    <row r="10" spans="1:9" ht="12" customHeight="1" x14ac:dyDescent="0.25">
      <c r="A10" s="6" t="s">
        <v>78</v>
      </c>
      <c r="B10" s="6"/>
      <c r="C10" s="78">
        <v>9027</v>
      </c>
      <c r="D10" s="78">
        <v>9027</v>
      </c>
      <c r="E10" s="78"/>
      <c r="F10" s="78">
        <v>9027</v>
      </c>
      <c r="G10" s="6"/>
    </row>
    <row r="11" spans="1:9" ht="12" customHeight="1" x14ac:dyDescent="0.25">
      <c r="A11" s="33" t="s">
        <v>35</v>
      </c>
      <c r="B11" s="33"/>
      <c r="C11" s="68">
        <v>630500</v>
      </c>
      <c r="D11" s="68">
        <v>850000</v>
      </c>
      <c r="E11" s="68"/>
      <c r="F11" s="68">
        <v>750000</v>
      </c>
      <c r="G11" s="6"/>
    </row>
    <row r="12" spans="1:9" ht="12" customHeight="1" x14ac:dyDescent="0.25">
      <c r="A12" s="6" t="s">
        <v>83</v>
      </c>
      <c r="B12" s="6"/>
      <c r="C12" s="78">
        <v>0</v>
      </c>
      <c r="D12" s="78">
        <v>3316380</v>
      </c>
      <c r="E12" s="78"/>
      <c r="F12" s="78">
        <v>3316380</v>
      </c>
      <c r="G12" s="6"/>
    </row>
    <row r="13" spans="1:9" ht="12" customHeight="1" x14ac:dyDescent="0.25">
      <c r="A13" s="33" t="s">
        <v>84</v>
      </c>
      <c r="B13" s="33"/>
      <c r="C13" s="68">
        <v>0</v>
      </c>
      <c r="D13" s="68">
        <v>767585</v>
      </c>
      <c r="E13" s="68"/>
      <c r="F13" s="68">
        <v>767585</v>
      </c>
      <c r="G13" s="6"/>
    </row>
    <row r="14" spans="1:9" ht="12" customHeight="1" x14ac:dyDescent="0.25">
      <c r="A14" s="6" t="s">
        <v>79</v>
      </c>
      <c r="B14" s="6"/>
      <c r="C14" s="78">
        <v>5110316</v>
      </c>
      <c r="D14" s="78">
        <v>5500000</v>
      </c>
      <c r="E14" s="78"/>
      <c r="F14" s="78">
        <v>5500000</v>
      </c>
      <c r="G14" s="6"/>
    </row>
    <row r="15" spans="1:9" ht="12" customHeight="1" x14ac:dyDescent="0.25">
      <c r="A15" s="33" t="s">
        <v>93</v>
      </c>
      <c r="B15" s="33"/>
      <c r="C15" s="68">
        <f>0+0+0+0</f>
        <v>0</v>
      </c>
      <c r="D15" s="68">
        <f>6000000+17000000+5000000+1000000</f>
        <v>29000000</v>
      </c>
      <c r="E15" s="68"/>
      <c r="F15" s="68">
        <v>0</v>
      </c>
      <c r="G15" s="6"/>
    </row>
    <row r="16" spans="1:9" ht="12" customHeight="1" x14ac:dyDescent="0.25">
      <c r="A16" s="6" t="s">
        <v>36</v>
      </c>
      <c r="B16" s="6"/>
      <c r="C16" s="78">
        <v>13080879</v>
      </c>
      <c r="D16" s="78">
        <v>21083467</v>
      </c>
      <c r="E16" s="78"/>
      <c r="F16" s="78">
        <v>21083467</v>
      </c>
      <c r="G16" s="6"/>
    </row>
    <row r="17" spans="1:9" ht="12" customHeight="1" x14ac:dyDescent="0.25">
      <c r="A17" s="33" t="s">
        <v>37</v>
      </c>
      <c r="B17" s="33"/>
      <c r="C17" s="68">
        <v>36154209</v>
      </c>
      <c r="D17" s="68">
        <f>38358756</f>
        <v>38358756</v>
      </c>
      <c r="E17" s="68"/>
      <c r="F17" s="68">
        <v>38358756</v>
      </c>
      <c r="G17" s="6"/>
    </row>
    <row r="18" spans="1:9" ht="12" customHeight="1" x14ac:dyDescent="0.25">
      <c r="A18" s="6" t="s">
        <v>48</v>
      </c>
      <c r="B18" s="6"/>
      <c r="C18" s="78">
        <v>3087988</v>
      </c>
      <c r="D18" s="78">
        <v>3225567</v>
      </c>
      <c r="E18" s="78"/>
      <c r="F18" s="78">
        <v>3225567</v>
      </c>
      <c r="G18" s="6"/>
    </row>
    <row r="19" spans="1:9" ht="12" customHeight="1" x14ac:dyDescent="0.25">
      <c r="A19" s="33" t="s">
        <v>38</v>
      </c>
      <c r="B19" s="33"/>
      <c r="C19" s="68">
        <v>4637657</v>
      </c>
      <c r="D19" s="68">
        <v>5800000</v>
      </c>
      <c r="E19" s="68"/>
      <c r="F19" s="68">
        <v>5800000</v>
      </c>
      <c r="G19" s="6"/>
    </row>
    <row r="20" spans="1:9" ht="12" customHeight="1" x14ac:dyDescent="0.25">
      <c r="A20" s="6" t="s">
        <v>50</v>
      </c>
      <c r="B20" s="6"/>
      <c r="C20" s="78">
        <v>18707672</v>
      </c>
      <c r="D20" s="78">
        <v>34025070</v>
      </c>
      <c r="E20" s="78"/>
      <c r="F20" s="78">
        <v>34025070</v>
      </c>
      <c r="G20" s="6"/>
    </row>
    <row r="21" spans="1:9" ht="12" customHeight="1" x14ac:dyDescent="0.25">
      <c r="A21" s="33" t="s">
        <v>39</v>
      </c>
      <c r="B21" s="33"/>
      <c r="C21" s="68">
        <v>478975</v>
      </c>
      <c r="D21" s="68">
        <v>500000</v>
      </c>
      <c r="E21" s="68"/>
      <c r="F21" s="68">
        <v>0</v>
      </c>
      <c r="G21" s="6"/>
    </row>
    <row r="22" spans="1:9" ht="12" customHeight="1" x14ac:dyDescent="0.25">
      <c r="A22" s="6" t="s">
        <v>40</v>
      </c>
      <c r="B22" s="6"/>
      <c r="C22" s="78">
        <v>194000</v>
      </c>
      <c r="D22" s="78">
        <v>450000</v>
      </c>
      <c r="E22" s="78"/>
      <c r="F22" s="78">
        <v>450000</v>
      </c>
      <c r="G22" s="6"/>
    </row>
    <row r="23" spans="1:9" ht="12" customHeight="1" x14ac:dyDescent="0.25">
      <c r="A23" s="33" t="s">
        <v>70</v>
      </c>
      <c r="B23" s="33"/>
      <c r="C23" s="68">
        <v>160000</v>
      </c>
      <c r="D23" s="68">
        <v>975000</v>
      </c>
      <c r="E23" s="68"/>
      <c r="F23" s="68">
        <v>975000</v>
      </c>
      <c r="G23" s="6"/>
    </row>
    <row r="24" spans="1:9" ht="12" customHeight="1" x14ac:dyDescent="0.25">
      <c r="A24" s="6" t="s">
        <v>46</v>
      </c>
      <c r="B24" s="6"/>
      <c r="C24" s="78">
        <v>28163</v>
      </c>
      <c r="D24" s="78">
        <v>40000</v>
      </c>
      <c r="E24" s="78"/>
      <c r="F24" s="78">
        <v>40000</v>
      </c>
      <c r="G24" s="6"/>
    </row>
    <row r="25" spans="1:9" ht="12" customHeight="1" x14ac:dyDescent="0.25">
      <c r="A25" s="33" t="s">
        <v>95</v>
      </c>
      <c r="B25" s="33"/>
      <c r="C25" s="68">
        <f>0+0+0</f>
        <v>0</v>
      </c>
      <c r="D25" s="68">
        <f>800000+0</f>
        <v>800000</v>
      </c>
      <c r="E25" s="68"/>
      <c r="F25" s="68">
        <f>0+800000+0</f>
        <v>800000</v>
      </c>
      <c r="G25" s="6"/>
    </row>
    <row r="26" spans="1:9" ht="12" customHeight="1" x14ac:dyDescent="0.25">
      <c r="A26" s="6" t="s">
        <v>85</v>
      </c>
      <c r="B26" s="6"/>
      <c r="C26" s="78">
        <f>48500+97000+90656</f>
        <v>236156</v>
      </c>
      <c r="D26" s="78">
        <f>250000+0+500000</f>
        <v>750000</v>
      </c>
      <c r="E26" s="78"/>
      <c r="F26" s="78">
        <f>0+0+500000</f>
        <v>500000</v>
      </c>
      <c r="G26" s="6"/>
    </row>
    <row r="27" spans="1:9" ht="12" customHeight="1" x14ac:dyDescent="0.25">
      <c r="A27" s="33" t="s">
        <v>82</v>
      </c>
      <c r="B27" s="33"/>
      <c r="C27" s="68">
        <v>20000000</v>
      </c>
      <c r="D27" s="68">
        <v>50000000</v>
      </c>
      <c r="E27" s="68"/>
      <c r="F27" s="68">
        <v>0</v>
      </c>
      <c r="G27" s="6"/>
    </row>
    <row r="28" spans="1:9" ht="12" customHeight="1" x14ac:dyDescent="0.25">
      <c r="A28" s="6" t="s">
        <v>68</v>
      </c>
      <c r="B28" s="6"/>
      <c r="C28" s="78"/>
      <c r="D28" s="78"/>
      <c r="E28" s="78"/>
      <c r="F28" s="78"/>
      <c r="G28" s="6"/>
    </row>
    <row r="29" spans="1:9" ht="12" customHeight="1" x14ac:dyDescent="0.25">
      <c r="A29" s="108" t="s">
        <v>63</v>
      </c>
      <c r="B29" s="33"/>
      <c r="C29" s="68">
        <v>216667709</v>
      </c>
      <c r="D29" s="68">
        <v>217925452</v>
      </c>
      <c r="E29" s="33"/>
      <c r="F29" s="68">
        <v>216881267</v>
      </c>
      <c r="I29" s="111"/>
    </row>
    <row r="30" spans="1:9" s="53" customFormat="1" ht="12" customHeight="1" x14ac:dyDescent="0.25">
      <c r="A30" s="103" t="s">
        <v>64</v>
      </c>
      <c r="B30" s="102"/>
      <c r="C30" s="99">
        <v>29111229</v>
      </c>
      <c r="D30" s="99">
        <v>29117175</v>
      </c>
      <c r="E30" s="101"/>
      <c r="F30" s="99">
        <v>29117175</v>
      </c>
      <c r="I30" s="111"/>
    </row>
    <row r="31" spans="1:9" ht="12" customHeight="1" x14ac:dyDescent="0.25">
      <c r="A31" s="108" t="s">
        <v>67</v>
      </c>
      <c r="B31" s="33"/>
      <c r="C31" s="68">
        <f>8607394+0</f>
        <v>8607394</v>
      </c>
      <c r="D31" s="68">
        <f>12733066+2900000</f>
        <v>15633066</v>
      </c>
      <c r="E31" s="33"/>
      <c r="F31" s="68">
        <f>12492798+2900000</f>
        <v>15392798</v>
      </c>
      <c r="I31" s="111"/>
    </row>
    <row r="32" spans="1:9" s="53" customFormat="1" ht="12" customHeight="1" x14ac:dyDescent="0.25">
      <c r="A32" s="103" t="s">
        <v>74</v>
      </c>
      <c r="B32" s="102"/>
      <c r="C32" s="99">
        <v>34000</v>
      </c>
      <c r="D32" s="99">
        <v>255600</v>
      </c>
      <c r="E32" s="101"/>
      <c r="F32" s="99">
        <v>255600</v>
      </c>
      <c r="I32" s="111"/>
    </row>
    <row r="33" spans="1:9" ht="12" customHeight="1" x14ac:dyDescent="0.25">
      <c r="A33" s="108" t="s">
        <v>71</v>
      </c>
      <c r="B33" s="33"/>
      <c r="C33" s="68">
        <v>7484340</v>
      </c>
      <c r="D33" s="68">
        <v>17319713</v>
      </c>
      <c r="E33" s="33"/>
      <c r="F33" s="68">
        <v>17319713</v>
      </c>
      <c r="I33" s="111"/>
    </row>
    <row r="34" spans="1:9" s="53" customFormat="1" ht="12" customHeight="1" x14ac:dyDescent="0.25">
      <c r="A34" s="103" t="s">
        <v>65</v>
      </c>
      <c r="B34" s="102"/>
      <c r="C34" s="99">
        <v>66602485</v>
      </c>
      <c r="D34" s="99">
        <v>73416433</v>
      </c>
      <c r="E34" s="101"/>
      <c r="F34" s="99">
        <v>71272796</v>
      </c>
      <c r="I34" s="111"/>
    </row>
    <row r="35" spans="1:9" ht="12" customHeight="1" x14ac:dyDescent="0.25">
      <c r="A35" s="108" t="s">
        <v>66</v>
      </c>
      <c r="B35" s="33"/>
      <c r="C35" s="68">
        <v>14306580</v>
      </c>
      <c r="D35" s="68">
        <v>22077583</v>
      </c>
      <c r="E35" s="33"/>
      <c r="F35" s="68">
        <v>21927583</v>
      </c>
      <c r="I35" s="111"/>
    </row>
    <row r="36" spans="1:9" s="53" customFormat="1" ht="12" customHeight="1" x14ac:dyDescent="0.25">
      <c r="A36" s="103" t="s">
        <v>72</v>
      </c>
      <c r="B36" s="102"/>
      <c r="C36" s="99">
        <v>24311391</v>
      </c>
      <c r="D36" s="99">
        <v>44799432</v>
      </c>
      <c r="E36" s="101"/>
      <c r="F36" s="99">
        <v>44846610</v>
      </c>
      <c r="I36" s="111"/>
    </row>
    <row r="37" spans="1:9" ht="12" customHeight="1" x14ac:dyDescent="0.25">
      <c r="A37" s="108" t="s">
        <v>98</v>
      </c>
      <c r="B37" s="33"/>
      <c r="C37" s="68">
        <f>152133859+11366113+0+0+59982783+0+0+229129702+3676427</f>
        <v>456288884</v>
      </c>
      <c r="D37" s="68">
        <f>165674229+0+12500000+59711461+126940145+39332657+6264771+312500000+56023768</f>
        <v>778947031</v>
      </c>
      <c r="E37" s="33"/>
      <c r="F37" s="68">
        <f>289591952+0+0+25000000+86895851+45597428+6264771+100754730+180996810</f>
        <v>735101542</v>
      </c>
      <c r="I37" s="111"/>
    </row>
    <row r="38" spans="1:9" s="53" customFormat="1" ht="12" customHeight="1" x14ac:dyDescent="0.25">
      <c r="A38" s="103" t="s">
        <v>75</v>
      </c>
      <c r="B38" s="102"/>
      <c r="C38" s="99">
        <v>9054665</v>
      </c>
      <c r="D38" s="99">
        <v>12483739</v>
      </c>
      <c r="E38" s="101"/>
      <c r="F38" s="99">
        <v>27719444</v>
      </c>
      <c r="I38" s="111"/>
    </row>
    <row r="39" spans="1:9" ht="12" customHeight="1" x14ac:dyDescent="0.25">
      <c r="A39" s="33" t="s">
        <v>94</v>
      </c>
      <c r="B39" s="33"/>
      <c r="C39" s="68">
        <f>2425000+171116+0+0+4034686</f>
        <v>6630802</v>
      </c>
      <c r="D39" s="68">
        <f>0+2500000+455000+11100000+250000+4299143+525000</f>
        <v>19129143</v>
      </c>
      <c r="E39" s="68"/>
      <c r="F39" s="68">
        <f>11100000+596288+4299143+2500000+0+455000+0</f>
        <v>18950431</v>
      </c>
      <c r="G39" s="6"/>
    </row>
    <row r="40" spans="1:9" ht="12" customHeight="1" x14ac:dyDescent="0.25">
      <c r="A40" s="6" t="s">
        <v>41</v>
      </c>
      <c r="B40" s="6"/>
      <c r="C40" s="78">
        <v>112999041</v>
      </c>
      <c r="D40" s="78">
        <v>141729264</v>
      </c>
      <c r="E40" s="78"/>
      <c r="F40" s="78">
        <v>142436110</v>
      </c>
      <c r="G40" s="6"/>
    </row>
    <row r="41" spans="1:9" ht="12" customHeight="1" x14ac:dyDescent="0.25">
      <c r="A41" s="33" t="s">
        <v>42</v>
      </c>
      <c r="B41" s="33"/>
      <c r="C41" s="68">
        <v>40791470</v>
      </c>
      <c r="D41" s="68">
        <v>45604037</v>
      </c>
      <c r="E41" s="68"/>
      <c r="F41" s="68">
        <v>45625037</v>
      </c>
      <c r="G41" s="6"/>
    </row>
    <row r="42" spans="1:9" ht="12" customHeight="1" x14ac:dyDescent="0.25">
      <c r="A42" s="6" t="s">
        <v>43</v>
      </c>
      <c r="B42" s="6"/>
      <c r="C42" s="78">
        <f>20324174+336246392</f>
        <v>356570566</v>
      </c>
      <c r="D42" s="78">
        <f>27000000+357940012</f>
        <v>384940012</v>
      </c>
      <c r="E42" s="78"/>
      <c r="F42" s="78">
        <f>325308774+27000000</f>
        <v>352308774</v>
      </c>
      <c r="G42" s="6"/>
    </row>
    <row r="43" spans="1:9" ht="12" customHeight="1" x14ac:dyDescent="0.25">
      <c r="A43" s="33" t="s">
        <v>53</v>
      </c>
      <c r="B43" s="33"/>
      <c r="C43" s="68">
        <v>396877</v>
      </c>
      <c r="D43" s="68">
        <v>283148</v>
      </c>
      <c r="E43" s="68"/>
      <c r="F43" s="68">
        <v>283148</v>
      </c>
      <c r="G43" s="6"/>
    </row>
    <row r="44" spans="1:9" ht="12" customHeight="1" x14ac:dyDescent="0.25">
      <c r="A44" s="6" t="s">
        <v>73</v>
      </c>
      <c r="B44" s="6"/>
      <c r="C44" s="78">
        <v>395915</v>
      </c>
      <c r="D44" s="78">
        <v>1706933</v>
      </c>
      <c r="E44" s="78"/>
      <c r="F44" s="78">
        <v>1706933</v>
      </c>
      <c r="G44" s="6"/>
    </row>
    <row r="45" spans="1:9" ht="12" customHeight="1" x14ac:dyDescent="0.25">
      <c r="A45" s="33" t="s">
        <v>87</v>
      </c>
      <c r="B45" s="33"/>
      <c r="C45" s="68">
        <v>12980</v>
      </c>
      <c r="D45" s="68">
        <v>122000</v>
      </c>
      <c r="E45" s="68"/>
      <c r="F45" s="68">
        <v>122000</v>
      </c>
      <c r="G45" s="6"/>
    </row>
    <row r="46" spans="1:9" ht="12" customHeight="1" x14ac:dyDescent="0.25">
      <c r="A46" s="6" t="s">
        <v>97</v>
      </c>
      <c r="B46" s="6"/>
      <c r="C46" s="78">
        <v>0</v>
      </c>
      <c r="D46" s="78">
        <v>100000</v>
      </c>
      <c r="E46" s="78"/>
      <c r="F46" s="78">
        <v>100000</v>
      </c>
      <c r="G46" s="6"/>
    </row>
    <row r="47" spans="1:9" ht="12" customHeight="1" x14ac:dyDescent="0.25">
      <c r="A47" s="33" t="s">
        <v>86</v>
      </c>
      <c r="B47" s="33"/>
      <c r="C47" s="68">
        <v>66018</v>
      </c>
      <c r="D47" s="68">
        <v>0</v>
      </c>
      <c r="E47" s="68"/>
      <c r="F47" s="68">
        <v>0</v>
      </c>
      <c r="G47" s="6"/>
    </row>
    <row r="48" spans="1:9" ht="12" customHeight="1" x14ac:dyDescent="0.25">
      <c r="A48" s="6" t="s">
        <v>96</v>
      </c>
      <c r="B48" s="6"/>
      <c r="C48" s="78">
        <f>0+0+0+0+0+0+0</f>
        <v>0</v>
      </c>
      <c r="D48" s="78">
        <f>250000+50000+50000+3000000+500000+100000+4000000+7693463+6000000+113808+0</f>
        <v>21757271</v>
      </c>
      <c r="E48" s="78"/>
      <c r="F48" s="78">
        <f>7693463+6000000</f>
        <v>13693463</v>
      </c>
      <c r="G48" s="6"/>
    </row>
    <row r="49" spans="1:9" ht="13.5" customHeight="1" x14ac:dyDescent="0.25">
      <c r="A49" s="126" t="s">
        <v>88</v>
      </c>
      <c r="B49" s="126"/>
      <c r="C49" s="127">
        <v>2195341</v>
      </c>
      <c r="D49" s="127">
        <v>2500000</v>
      </c>
      <c r="E49" s="126"/>
      <c r="F49" s="127">
        <v>2500000</v>
      </c>
      <c r="I49" s="111"/>
    </row>
    <row r="50" spans="1:9" ht="12" customHeight="1" x14ac:dyDescent="0.25">
      <c r="A50" s="104" t="s">
        <v>26</v>
      </c>
      <c r="B50" s="104"/>
      <c r="C50" s="105">
        <f>SUM(C5:C49)</f>
        <v>1749743845</v>
      </c>
      <c r="D50" s="105">
        <f>SUM(D5:D49)</f>
        <v>2338426865</v>
      </c>
      <c r="E50" s="105"/>
      <c r="F50" s="105">
        <f>SUM(F5:F49)</f>
        <v>2186644706</v>
      </c>
      <c r="G50" s="66">
        <f>SUM(G5:G46)</f>
        <v>0</v>
      </c>
      <c r="I50" s="111"/>
    </row>
    <row r="51" spans="1:9" s="53" customFormat="1" ht="12" customHeight="1" x14ac:dyDescent="0.25">
      <c r="A51" s="128" t="s">
        <v>6</v>
      </c>
      <c r="B51" s="129"/>
      <c r="C51" s="130">
        <v>424404771</v>
      </c>
      <c r="D51" s="130">
        <v>523778287</v>
      </c>
      <c r="E51" s="131"/>
      <c r="F51" s="130">
        <v>584580063</v>
      </c>
    </row>
    <row r="52" spans="1:9" s="53" customFormat="1" ht="12" customHeight="1" x14ac:dyDescent="0.25">
      <c r="A52" s="69" t="s">
        <v>7</v>
      </c>
      <c r="B52" s="106"/>
      <c r="C52" s="99">
        <f>91914398+669711018+0+138909439+0+1225000+71595728+29081810+1976825+229129702+3676427</f>
        <v>1237220347</v>
      </c>
      <c r="D52" s="99">
        <f>119837265+732767927+1500000+219840109+2900000+1300000+127087475+55885010+5421111+325000000+128000000</f>
        <v>1719538897</v>
      </c>
      <c r="E52" s="107"/>
      <c r="F52" s="99">
        <f>121044111+741352408+0+220008819+2900000+0+87047840+11014747+3041865+100754730+218261581</f>
        <v>1505426101</v>
      </c>
    </row>
    <row r="53" spans="1:9" s="53" customFormat="1" ht="12" customHeight="1" x14ac:dyDescent="0.25">
      <c r="A53" s="128" t="s">
        <v>8</v>
      </c>
      <c r="B53" s="129"/>
      <c r="C53" s="130">
        <f>196000+42604525+9027+1610021+10000000+33699154</f>
        <v>88118727</v>
      </c>
      <c r="D53" s="130">
        <f>190556+47649762+9027+3221303+10000000+34039033</f>
        <v>95109681</v>
      </c>
      <c r="E53" s="131"/>
      <c r="F53" s="130">
        <f>190556+47649762+9027+3250164+11500000+34039033</f>
        <v>96638542</v>
      </c>
    </row>
    <row r="54" spans="1:9" ht="12" customHeight="1" thickBot="1" x14ac:dyDescent="0.3">
      <c r="C54" s="8"/>
      <c r="D54" s="8"/>
      <c r="E54" s="8"/>
      <c r="F54" s="8"/>
    </row>
    <row r="55" spans="1:9" ht="12" customHeight="1" thickBot="1" x14ac:dyDescent="0.3">
      <c r="A55" s="41" t="s">
        <v>5</v>
      </c>
      <c r="B55" s="42"/>
      <c r="C55" s="56">
        <v>930.24</v>
      </c>
      <c r="D55" s="56">
        <v>1043.01</v>
      </c>
      <c r="E55" s="44"/>
      <c r="F55" s="56">
        <v>1049.01</v>
      </c>
      <c r="G55" s="45"/>
    </row>
    <row r="58" spans="1:9" x14ac:dyDescent="0.25">
      <c r="A58" s="12"/>
      <c r="B58" s="15"/>
      <c r="C58" s="13"/>
      <c r="D58" s="13"/>
      <c r="F58" s="13"/>
      <c r="I58" s="110"/>
    </row>
  </sheetData>
  <sheetProtection formatCells="0" insertRows="0" selectLockedCells="1"/>
  <protectedRanges>
    <protectedRange password="CA89" sqref="A4:G4 E42 E55 G55 A53:A55 B53:G54 A56:G59 B55 E46 A31:A32 A50:G52 B5:B49 G5:G49" name="Range1" securityDescriptor="O:WDG:WDD:(A;;CC;;;S-1-5-21-3219648850-738124763-203175933-17295)(A;;CC;;;S-1-5-21-3219648850-738124763-203175933-17298)(A;;CC;;;S-1-5-21-3219648850-738124763-203175933-17299)"/>
    <protectedRange password="CA89" sqref="A33:A49 A5:A30" name="Range1_1" securityDescriptor="O:WDG:WDD:(A;;CC;;;S-1-5-21-3219648850-738124763-203175933-17295)(A;;CC;;;S-1-5-21-3219648850-738124763-203175933-17298)(A;;CC;;;S-1-5-21-3219648850-738124763-203175933-17299)"/>
    <protectedRange password="CA89" sqref="E5" name="Range1_2" securityDescriptor="O:WDG:WDD:(A;;CC;;;S-1-5-21-3219648850-738124763-203175933-17295)(A;;CC;;;S-1-5-21-3219648850-738124763-203175933-17298)(A;;CC;;;S-1-5-21-3219648850-738124763-203175933-17299)"/>
    <protectedRange password="CA89" sqref="C5:D5" name="Range1_6" securityDescriptor="O:WDG:WDD:(A;;CC;;;S-1-5-21-3219648850-738124763-203175933-17295)(A;;CC;;;S-1-5-21-3219648850-738124763-203175933-17298)(A;;CC;;;S-1-5-21-3219648850-738124763-203175933-17299)"/>
    <protectedRange password="CA89" sqref="F5" name="Range1_7" securityDescriptor="O:WDG:WDD:(A;;CC;;;S-1-5-21-3219648850-738124763-203175933-17295)(A;;CC;;;S-1-5-21-3219648850-738124763-203175933-17298)(A;;CC;;;S-1-5-21-3219648850-738124763-203175933-17299)"/>
    <protectedRange password="CA89" sqref="C46:D46 C42" name="Range1_8" securityDescriptor="O:WDG:WDD:(A;;CC;;;S-1-5-21-3219648850-738124763-203175933-17295)(A;;CC;;;S-1-5-21-3219648850-738124763-203175933-17298)(A;;CC;;;S-1-5-21-3219648850-738124763-203175933-17299)"/>
    <protectedRange password="CA89" sqref="F18 C43:F45 F46 C40:E41 F40:F42 F20:F26 C27:C39 C6:F17 C47:F49 D42 D27:D28 D30:D39 E27:F39 C18:E26" name="Range1_10" securityDescriptor="O:WDG:WDD:(A;;CC;;;S-1-5-21-3219648850-738124763-203175933-17295)(A;;CC;;;S-1-5-21-3219648850-738124763-203175933-17298)(A;;CC;;;S-1-5-21-3219648850-738124763-203175933-17299)"/>
    <protectedRange password="CA89" sqref="F55 C55:D55" name="Range1_14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55:XFD1048576 G51:XFD54 H50 A4:XFD4 A31:H31 A33:H33 A35:H36 A38:H38 A29:H29 J29:XFD29 J38:XFD38 J35:XFD36 J33:XFD33 J31:XFD31 J50:XFD50 I29:I38 I49:I50">
    <cfRule type="expression" priority="150" stopIfTrue="1">
      <formula>CELL("protect",A1)=1</formula>
    </cfRule>
    <cfRule type="expression" dxfId="38" priority="151">
      <formula>CELL("protect",A1)=1</formula>
    </cfRule>
  </conditionalFormatting>
  <conditionalFormatting sqref="C58:F58">
    <cfRule type="cellIs" dxfId="37" priority="147" operator="lessThan">
      <formula>0</formula>
    </cfRule>
    <cfRule type="cellIs" dxfId="36" priority="149" operator="greaterThan">
      <formula>0</formula>
    </cfRule>
  </conditionalFormatting>
  <conditionalFormatting sqref="G50">
    <cfRule type="expression" priority="139" stopIfTrue="1">
      <formula>CELL("protect",G50)=1</formula>
    </cfRule>
    <cfRule type="expression" dxfId="35" priority="140">
      <formula>CELL("protect",G50)=1</formula>
    </cfRule>
  </conditionalFormatting>
  <conditionalFormatting sqref="A1:G3">
    <cfRule type="expression" priority="119" stopIfTrue="1">
      <formula>CELL("protect",A1)=1</formula>
    </cfRule>
    <cfRule type="expression" dxfId="34" priority="120">
      <formula>CELL("protect",A1)=1</formula>
    </cfRule>
  </conditionalFormatting>
  <conditionalFormatting sqref="A54:F54">
    <cfRule type="expression" dxfId="33" priority="94">
      <formula>CELL("protect",A54)=1</formula>
    </cfRule>
  </conditionalFormatting>
  <conditionalFormatting sqref="A54:F54">
    <cfRule type="expression" priority="93" stopIfTrue="1">
      <formula>CELL("protect",A54)=1</formula>
    </cfRule>
  </conditionalFormatting>
  <conditionalFormatting sqref="A50:F53">
    <cfRule type="expression" dxfId="32" priority="92">
      <formula>CELL("protect",A50)=1</formula>
    </cfRule>
  </conditionalFormatting>
  <conditionalFormatting sqref="A50:F53">
    <cfRule type="expression" priority="91" stopIfTrue="1">
      <formula>CELL("protect",A50)=1</formula>
    </cfRule>
  </conditionalFormatting>
  <conditionalFormatting sqref="A29:H29 A31:H31 A33:H33 A35:H35 J35:XFD35 J33:XFD33 J31:XFD31 J29:XFD29">
    <cfRule type="expression" priority="45" stopIfTrue="1">
      <formula>CELL("protect",A29)=1</formula>
    </cfRule>
    <cfRule type="expression" dxfId="31" priority="46">
      <formula>CELL("protect",A29)=1</formula>
    </cfRule>
  </conditionalFormatting>
  <conditionalFormatting sqref="A37:H37 J37:XFD37">
    <cfRule type="expression" priority="37" stopIfTrue="1">
      <formula>CELL("protect",A37)=1</formula>
    </cfRule>
    <cfRule type="expression" dxfId="30" priority="38">
      <formula>CELL("protect",A37)=1</formula>
    </cfRule>
  </conditionalFormatting>
  <conditionalFormatting sqref="A49:H49 J49:XFD49">
    <cfRule type="expression" priority="27" stopIfTrue="1">
      <formula>CELL("protect",A49)=1</formula>
    </cfRule>
    <cfRule type="expression" dxfId="29" priority="28">
      <formula>CELL("protect",A49)=1</formula>
    </cfRule>
  </conditionalFormatting>
  <conditionalFormatting sqref="A30:H30 J30:XFD30">
    <cfRule type="expression" priority="21" stopIfTrue="1">
      <formula>CELL("protect",A30)=1</formula>
    </cfRule>
    <cfRule type="expression" dxfId="28" priority="22">
      <formula>CELL("protect",A30)=1</formula>
    </cfRule>
  </conditionalFormatting>
  <conditionalFormatting sqref="A32:H32 J32:XFD32">
    <cfRule type="expression" priority="19" stopIfTrue="1">
      <formula>CELL("protect",A32)=1</formula>
    </cfRule>
    <cfRule type="expression" dxfId="27" priority="20">
      <formula>CELL("protect",A32)=1</formula>
    </cfRule>
  </conditionalFormatting>
  <conditionalFormatting sqref="A34:H34 J34:XFD34">
    <cfRule type="expression" priority="17" stopIfTrue="1">
      <formula>CELL("protect",A34)=1</formula>
    </cfRule>
    <cfRule type="expression" dxfId="26" priority="18">
      <formula>CELL("protect",A34)=1</formula>
    </cfRule>
  </conditionalFormatting>
  <conditionalFormatting sqref="A5:XFD28">
    <cfRule type="expression" priority="13" stopIfTrue="1">
      <formula>CELL("protect",A5)=1</formula>
    </cfRule>
    <cfRule type="expression" dxfId="25" priority="14">
      <formula>CELL("protect",A5)=1</formula>
    </cfRule>
  </conditionalFormatting>
  <conditionalFormatting sqref="A40:XFD40 A42:XFD42 A44:XFD44 A46:XFD46 A48:XFD48">
    <cfRule type="expression" priority="11" stopIfTrue="1">
      <formula>CELL("protect",A40)=1</formula>
    </cfRule>
    <cfRule type="expression" dxfId="24" priority="12">
      <formula>CELL("protect",A40)=1</formula>
    </cfRule>
  </conditionalFormatting>
  <conditionalFormatting sqref="A39:XFD39">
    <cfRule type="expression" priority="9" stopIfTrue="1">
      <formula>CELL("protect",A39)=1</formula>
    </cfRule>
    <cfRule type="expression" dxfId="23" priority="10">
      <formula>CELL("protect",A39)=1</formula>
    </cfRule>
  </conditionalFormatting>
  <conditionalFormatting sqref="A41:XFD41">
    <cfRule type="expression" priority="7" stopIfTrue="1">
      <formula>CELL("protect",A41)=1</formula>
    </cfRule>
    <cfRule type="expression" dxfId="22" priority="8">
      <formula>CELL("protect",A41)=1</formula>
    </cfRule>
  </conditionalFormatting>
  <conditionalFormatting sqref="A43:XFD43">
    <cfRule type="expression" priority="5" stopIfTrue="1">
      <formula>CELL("protect",A43)=1</formula>
    </cfRule>
    <cfRule type="expression" dxfId="21" priority="6">
      <formula>CELL("protect",A43)=1</formula>
    </cfRule>
  </conditionalFormatting>
  <conditionalFormatting sqref="A45:XFD45">
    <cfRule type="expression" priority="3" stopIfTrue="1">
      <formula>CELL("protect",A45)=1</formula>
    </cfRule>
    <cfRule type="expression" dxfId="20" priority="4">
      <formula>CELL("protect",A45)=1</formula>
    </cfRule>
  </conditionalFormatting>
  <conditionalFormatting sqref="A47:XFD47">
    <cfRule type="expression" priority="1" stopIfTrue="1">
      <formula>CELL("protect",A47)=1</formula>
    </cfRule>
    <cfRule type="expression" dxfId="19" priority="2">
      <formula>CELL("protect",A47)=1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workbookViewId="0">
      <pane ySplit="3" topLeftCell="A7" activePane="bottomLeft" state="frozen"/>
      <selection pane="bottomLeft" activeCell="A17" sqref="A17:F17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7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7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7" ht="12" customHeight="1" x14ac:dyDescent="0.25"/>
    <row r="5" spans="1:7" ht="12" customHeight="1" x14ac:dyDescent="0.25">
      <c r="A5" s="33" t="s">
        <v>20</v>
      </c>
      <c r="B5" s="33"/>
      <c r="C5" s="77">
        <v>53861626</v>
      </c>
      <c r="D5" s="77">
        <v>60548039</v>
      </c>
      <c r="E5" s="82"/>
      <c r="F5" s="77">
        <v>61833411</v>
      </c>
    </row>
    <row r="6" spans="1:7" ht="12" customHeight="1" x14ac:dyDescent="0.25">
      <c r="A6" s="6" t="s">
        <v>57</v>
      </c>
      <c r="B6" s="6"/>
      <c r="C6" s="78">
        <v>350</v>
      </c>
      <c r="D6" s="78">
        <v>49500</v>
      </c>
      <c r="E6" s="6"/>
      <c r="F6" s="78">
        <v>49500</v>
      </c>
    </row>
    <row r="7" spans="1:7" ht="12" customHeight="1" x14ac:dyDescent="0.25">
      <c r="A7" s="33" t="s">
        <v>58</v>
      </c>
      <c r="B7" s="33"/>
      <c r="C7" s="68">
        <v>449768</v>
      </c>
      <c r="D7" s="68">
        <v>1500000</v>
      </c>
      <c r="E7" s="33"/>
      <c r="F7" s="68">
        <v>1500000</v>
      </c>
    </row>
    <row r="8" spans="1:7" ht="13.5" customHeight="1" x14ac:dyDescent="0.25">
      <c r="A8" s="6" t="s">
        <v>44</v>
      </c>
      <c r="B8" s="6"/>
      <c r="C8" s="88">
        <v>0</v>
      </c>
      <c r="D8" s="88">
        <v>200000</v>
      </c>
      <c r="E8" s="91"/>
      <c r="F8" s="88">
        <v>200000</v>
      </c>
    </row>
    <row r="9" spans="1:7" ht="12" customHeight="1" x14ac:dyDescent="0.25">
      <c r="A9" s="36" t="s">
        <v>26</v>
      </c>
      <c r="B9" s="36"/>
      <c r="C9" s="83">
        <f>SUM(C5:C8)</f>
        <v>54311744</v>
      </c>
      <c r="D9" s="83">
        <f t="shared" ref="D9:F9" si="0">SUM(D5:D8)</f>
        <v>62297539</v>
      </c>
      <c r="E9" s="83"/>
      <c r="F9" s="83">
        <f t="shared" si="0"/>
        <v>63582911</v>
      </c>
    </row>
    <row r="10" spans="1:7" ht="12" customHeight="1" x14ac:dyDescent="0.25">
      <c r="A10" s="57" t="s">
        <v>6</v>
      </c>
      <c r="B10" s="58"/>
      <c r="C10" s="64">
        <v>46911923</v>
      </c>
      <c r="D10" s="64">
        <v>50768633</v>
      </c>
      <c r="E10" s="64"/>
      <c r="F10" s="64">
        <v>52025501</v>
      </c>
    </row>
    <row r="11" spans="1:7" ht="12" customHeight="1" x14ac:dyDescent="0.25">
      <c r="A11" s="37" t="s">
        <v>7</v>
      </c>
      <c r="B11" s="48"/>
      <c r="C11" s="68">
        <v>5508703</v>
      </c>
      <c r="D11" s="68">
        <v>7903051</v>
      </c>
      <c r="E11" s="68"/>
      <c r="F11" s="68">
        <v>7931555</v>
      </c>
    </row>
    <row r="12" spans="1:7" ht="12" customHeight="1" x14ac:dyDescent="0.25">
      <c r="A12" s="71" t="s">
        <v>8</v>
      </c>
      <c r="B12" s="72"/>
      <c r="C12" s="84">
        <f>1441000+0+449768+350</f>
        <v>1891118</v>
      </c>
      <c r="D12" s="84">
        <f>1876355+200000+1500000+49500</f>
        <v>3625855</v>
      </c>
      <c r="E12" s="84"/>
      <c r="F12" s="84">
        <f>1876355+200000+1500000+49500</f>
        <v>3625855</v>
      </c>
    </row>
    <row r="13" spans="1:7" ht="12" customHeight="1" thickBot="1" x14ac:dyDescent="0.3">
      <c r="C13" s="7"/>
      <c r="D13" s="7"/>
      <c r="E13" s="7"/>
      <c r="F13" s="7"/>
    </row>
    <row r="14" spans="1:7" ht="12" customHeight="1" thickBot="1" x14ac:dyDescent="0.3">
      <c r="A14" s="41" t="s">
        <v>5</v>
      </c>
      <c r="B14" s="42"/>
      <c r="C14" s="56">
        <v>542.35</v>
      </c>
      <c r="D14" s="56">
        <v>654.59</v>
      </c>
      <c r="E14" s="56"/>
      <c r="F14" s="56">
        <v>654.59</v>
      </c>
      <c r="G14" s="45"/>
    </row>
    <row r="17" spans="1:6" x14ac:dyDescent="0.25">
      <c r="A17" s="12"/>
      <c r="B17" s="15"/>
      <c r="C17" s="13"/>
      <c r="D17" s="13"/>
      <c r="F17" s="13"/>
    </row>
  </sheetData>
  <sheetProtection formatCells="0" insertRows="0" selectLockedCells="1"/>
  <protectedRanges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8" name="Range1_3" securityDescriptor="O:WDG:WDD:(A;;CC;;;S-1-5-21-3219648850-738124763-203175933-17295)(A;;CC;;;S-1-5-21-3219648850-738124763-203175933-17298)(A;;CC;;;S-1-5-21-3219648850-738124763-203175933-17299)"/>
    <protectedRange password="CA89" sqref="F8" name="Range1_4" securityDescriptor="O:WDG:WDD:(A;;CC;;;S-1-5-21-3219648850-738124763-203175933-17295)(A;;CC;;;S-1-5-21-3219648850-738124763-203175933-17298)(A;;CC;;;S-1-5-21-3219648850-738124763-203175933-17299)"/>
    <protectedRange password="CA89" sqref="C6:F7" name="Range1_5" securityDescriptor="O:WDG:WDD:(A;;CC;;;S-1-5-21-3219648850-738124763-203175933-17295)(A;;CC;;;S-1-5-21-3219648850-738124763-203175933-17298)(A;;CC;;;S-1-5-21-3219648850-738124763-203175933-17299)"/>
    <protectedRange password="CA89" sqref="C14:F14" name="Range1_12" securityDescriptor="O:WDG:WDD:(A;;CC;;;S-1-5-21-3219648850-738124763-203175933-17295)(A;;CC;;;S-1-5-21-3219648850-738124763-203175933-17298)(A;;CC;;;S-1-5-21-3219648850-738124763-203175933-17299)"/>
    <protectedRange password="CA89" sqref="A1:G3" name="Range1_5_2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10" stopIfTrue="1">
      <formula>CELL("protect",A1)=1</formula>
    </cfRule>
    <cfRule type="expression" dxfId="18" priority="11">
      <formula>CELL("protect",A1)=1</formula>
    </cfRule>
  </conditionalFormatting>
  <conditionalFormatting sqref="C17:F17">
    <cfRule type="cellIs" dxfId="17" priority="7" operator="lessThan">
      <formula>0</formula>
    </cfRule>
    <cfRule type="cellIs" dxfId="16" priority="9" operator="greaterThan">
      <formula>0</formula>
    </cfRule>
  </conditionalFormatting>
  <conditionalFormatting sqref="A1:G3">
    <cfRule type="expression" priority="1" stopIfTrue="1">
      <formula>CELL("protect",A1)=1</formula>
    </cfRule>
    <cfRule type="expression" dxfId="15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showGridLines="0" workbookViewId="0">
      <pane ySplit="3" topLeftCell="A4" activePane="bottomLeft" state="frozen"/>
      <selection pane="bottomLeft" activeCell="A13" sqref="A13:F13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7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7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7" ht="12" customHeight="1" x14ac:dyDescent="0.25">
      <c r="C4" s="6"/>
      <c r="D4" s="6"/>
      <c r="E4" s="6"/>
      <c r="F4" s="6"/>
    </row>
    <row r="5" spans="1:7" ht="12" customHeight="1" x14ac:dyDescent="0.25">
      <c r="A5" s="6" t="s">
        <v>51</v>
      </c>
      <c r="B5" s="6"/>
      <c r="C5" s="98"/>
      <c r="D5" s="98"/>
      <c r="E5" s="92"/>
      <c r="F5" s="98"/>
    </row>
    <row r="6" spans="1:7" ht="12" customHeight="1" x14ac:dyDescent="0.25">
      <c r="A6" s="36" t="s">
        <v>26</v>
      </c>
      <c r="B6" s="36"/>
      <c r="C6" s="85">
        <v>979478</v>
      </c>
      <c r="D6" s="85">
        <v>3842953</v>
      </c>
      <c r="E6" s="85"/>
      <c r="F6" s="85">
        <v>3860036</v>
      </c>
    </row>
    <row r="7" spans="1:7" ht="12" customHeight="1" x14ac:dyDescent="0.25">
      <c r="A7" s="57" t="s">
        <v>7</v>
      </c>
      <c r="B7" s="58"/>
      <c r="C7" s="64">
        <v>0</v>
      </c>
      <c r="D7" s="64">
        <v>500000</v>
      </c>
      <c r="E7" s="64"/>
      <c r="F7" s="64">
        <v>500000</v>
      </c>
    </row>
    <row r="8" spans="1:7" s="50" customFormat="1" ht="12" customHeight="1" x14ac:dyDescent="0.25">
      <c r="A8" s="37" t="s">
        <v>8</v>
      </c>
      <c r="B8" s="48"/>
      <c r="C8" s="68">
        <v>979478</v>
      </c>
      <c r="D8" s="68">
        <v>3342953</v>
      </c>
      <c r="E8" s="68"/>
      <c r="F8" s="68">
        <v>3360036</v>
      </c>
    </row>
    <row r="9" spans="1:7" ht="12" customHeight="1" thickBot="1" x14ac:dyDescent="0.3">
      <c r="C9" s="6"/>
      <c r="D9" s="6"/>
      <c r="E9" s="6"/>
      <c r="F9" s="6"/>
    </row>
    <row r="10" spans="1:7" ht="12" customHeight="1" thickBot="1" x14ac:dyDescent="0.3">
      <c r="A10" s="41" t="s">
        <v>5</v>
      </c>
      <c r="B10" s="42"/>
      <c r="C10" s="56">
        <v>3.99</v>
      </c>
      <c r="D10" s="56">
        <v>6</v>
      </c>
      <c r="E10" s="56"/>
      <c r="F10" s="56">
        <v>6</v>
      </c>
      <c r="G10" s="59"/>
    </row>
    <row r="13" spans="1:7" x14ac:dyDescent="0.25">
      <c r="A13" s="12"/>
      <c r="B13" s="15"/>
      <c r="C13" s="13"/>
      <c r="D13" s="13"/>
      <c r="F13" s="13"/>
    </row>
  </sheetData>
  <sheetProtection formatCells="0" insertRows="0" selectLockedCells="1"/>
  <protectedRanges>
    <protectedRange password="CA89" sqref="C6: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14" priority="12">
      <formula>CELL("protect",A1)=1</formula>
    </cfRule>
  </conditionalFormatting>
  <conditionalFormatting sqref="C13:F13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A1:G3">
    <cfRule type="expression" priority="1" stopIfTrue="1">
      <formula>CELL("protect",A1)=1</formula>
    </cfRule>
    <cfRule type="expression" dxfId="11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GridLines="0" workbookViewId="0">
      <pane ySplit="3" topLeftCell="A4" activePane="bottomLeft" state="frozen"/>
      <selection pane="bottomLeft" activeCell="A13" sqref="A13:F13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7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7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7" ht="12" customHeight="1" x14ac:dyDescent="0.25">
      <c r="C4" s="6"/>
      <c r="D4" s="6"/>
      <c r="E4" s="6"/>
      <c r="F4" s="6"/>
    </row>
    <row r="5" spans="1:7" ht="12" customHeight="1" x14ac:dyDescent="0.25">
      <c r="A5" s="51" t="s">
        <v>21</v>
      </c>
      <c r="B5" s="58"/>
      <c r="C5" s="99"/>
      <c r="D5" s="99"/>
      <c r="E5" s="99"/>
      <c r="F5" s="99"/>
    </row>
    <row r="6" spans="1:7" ht="12" customHeight="1" x14ac:dyDescent="0.25">
      <c r="A6" s="36" t="s">
        <v>26</v>
      </c>
      <c r="B6" s="36"/>
      <c r="C6" s="85">
        <v>971555</v>
      </c>
      <c r="D6" s="85">
        <v>1452727</v>
      </c>
      <c r="E6" s="85"/>
      <c r="F6" s="85">
        <v>1467076</v>
      </c>
    </row>
    <row r="7" spans="1:7" ht="12" customHeight="1" x14ac:dyDescent="0.25">
      <c r="A7" s="57" t="s">
        <v>6</v>
      </c>
      <c r="B7" s="58"/>
      <c r="C7" s="64">
        <v>813511</v>
      </c>
      <c r="D7" s="64">
        <v>1039975</v>
      </c>
      <c r="E7" s="64"/>
      <c r="F7" s="64">
        <v>1052996</v>
      </c>
    </row>
    <row r="8" spans="1:7" ht="12" customHeight="1" x14ac:dyDescent="0.25">
      <c r="A8" s="37" t="s">
        <v>8</v>
      </c>
      <c r="B8" s="48"/>
      <c r="C8" s="68">
        <f>67179+90865</f>
        <v>158044</v>
      </c>
      <c r="D8" s="68">
        <f>152260+100000+160492</f>
        <v>412752</v>
      </c>
      <c r="E8" s="68"/>
      <c r="F8" s="68">
        <f>152260+100000+161820</f>
        <v>414080</v>
      </c>
    </row>
    <row r="9" spans="1:7" ht="12" customHeight="1" thickBot="1" x14ac:dyDescent="0.3">
      <c r="C9" s="7"/>
      <c r="D9" s="8"/>
      <c r="E9" s="7"/>
      <c r="F9" s="8"/>
    </row>
    <row r="10" spans="1:7" ht="12" customHeight="1" thickBot="1" x14ac:dyDescent="0.3">
      <c r="A10" s="41" t="s">
        <v>5</v>
      </c>
      <c r="B10" s="42"/>
      <c r="C10" s="56">
        <v>5.45</v>
      </c>
      <c r="D10" s="56">
        <v>7</v>
      </c>
      <c r="E10" s="56"/>
      <c r="F10" s="56">
        <v>7</v>
      </c>
      <c r="G10" s="59"/>
    </row>
    <row r="13" spans="1:7" x14ac:dyDescent="0.25">
      <c r="A13" s="12"/>
      <c r="B13" s="15"/>
      <c r="C13" s="13"/>
      <c r="D13" s="13"/>
      <c r="F13" s="13"/>
    </row>
  </sheetData>
  <sheetProtection formatCells="0" insertRows="0" selectLockedCells="1"/>
  <protectedRanges>
    <protectedRange password="CA89" sqref="C6: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4:XFD4 G5:XFD5 A6:XFD1048576">
    <cfRule type="expression" priority="20" stopIfTrue="1">
      <formula>CELL("protect",A1)=1</formula>
    </cfRule>
    <cfRule type="expression" dxfId="10" priority="21">
      <formula>CELL("protect",A1)=1</formula>
    </cfRule>
  </conditionalFormatting>
  <conditionalFormatting sqref="C13:F13">
    <cfRule type="cellIs" dxfId="9" priority="17" operator="lessThan">
      <formula>0</formula>
    </cfRule>
    <cfRule type="cellIs" dxfId="8" priority="19" operator="greaterThan">
      <formula>0</formula>
    </cfRule>
  </conditionalFormatting>
  <conditionalFormatting sqref="A1:G3">
    <cfRule type="expression" priority="3" stopIfTrue="1">
      <formula>CELL("protect",A1)=1</formula>
    </cfRule>
    <cfRule type="expression" dxfId="7" priority="4">
      <formula>CELL("protect",A1)=1</formula>
    </cfRule>
  </conditionalFormatting>
  <conditionalFormatting sqref="A5:F5">
    <cfRule type="expression" priority="1" stopIfTrue="1">
      <formula>CELL("protect",A5)=1</formula>
    </cfRule>
    <cfRule type="expression" dxfId="6" priority="2">
      <formula>CELL("protect",A5)=1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showGridLines="0" workbookViewId="0">
      <pane ySplit="3" topLeftCell="A4" activePane="bottomLeft" state="frozen"/>
      <selection pane="bottomLeft" activeCell="A14" sqref="A14:F15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18"/>
      <c r="B1" s="19"/>
      <c r="C1" s="20"/>
      <c r="D1" s="20"/>
      <c r="E1" s="20"/>
      <c r="F1" s="20" t="s">
        <v>91</v>
      </c>
      <c r="G1" s="21"/>
    </row>
    <row r="2" spans="1:7" ht="12" customHeight="1" x14ac:dyDescent="0.25">
      <c r="A2" s="22"/>
      <c r="B2" s="23"/>
      <c r="C2" s="24" t="s">
        <v>69</v>
      </c>
      <c r="D2" s="24" t="s">
        <v>80</v>
      </c>
      <c r="E2" s="24"/>
      <c r="F2" s="24" t="s">
        <v>3</v>
      </c>
      <c r="G2" s="25"/>
    </row>
    <row r="3" spans="1:7" ht="12" customHeight="1" thickBot="1" x14ac:dyDescent="0.3">
      <c r="A3" s="26"/>
      <c r="B3" s="27"/>
      <c r="C3" s="28" t="s">
        <v>0</v>
      </c>
      <c r="D3" s="28" t="s">
        <v>1</v>
      </c>
      <c r="E3" s="28"/>
      <c r="F3" s="28" t="s">
        <v>4</v>
      </c>
      <c r="G3" s="29"/>
    </row>
    <row r="4" spans="1:7" ht="12" customHeight="1" x14ac:dyDescent="0.25">
      <c r="C4" s="6"/>
      <c r="D4" s="6"/>
      <c r="E4" s="6"/>
      <c r="F4" s="6"/>
    </row>
    <row r="5" spans="1:7" ht="12" customHeight="1" x14ac:dyDescent="0.25">
      <c r="A5" s="6" t="s">
        <v>22</v>
      </c>
      <c r="B5" s="93"/>
      <c r="C5" s="98"/>
      <c r="D5" s="98"/>
      <c r="E5" s="100"/>
      <c r="F5" s="98"/>
    </row>
    <row r="6" spans="1:7" ht="12" customHeight="1" x14ac:dyDescent="0.25">
      <c r="A6" s="36" t="s">
        <v>26</v>
      </c>
      <c r="B6" s="36"/>
      <c r="C6" s="85">
        <v>2905216</v>
      </c>
      <c r="D6" s="85">
        <v>4567548</v>
      </c>
      <c r="E6" s="85"/>
      <c r="F6" s="85">
        <v>4586756</v>
      </c>
    </row>
    <row r="7" spans="1:7" ht="12" customHeight="1" x14ac:dyDescent="0.25">
      <c r="A7" s="57" t="s">
        <v>6</v>
      </c>
      <c r="B7" s="58"/>
      <c r="C7" s="64">
        <v>296550</v>
      </c>
      <c r="D7" s="64">
        <v>0</v>
      </c>
      <c r="E7" s="64"/>
      <c r="F7" s="64">
        <v>0</v>
      </c>
    </row>
    <row r="8" spans="1:7" ht="12" customHeight="1" x14ac:dyDescent="0.25">
      <c r="A8" s="37" t="s">
        <v>7</v>
      </c>
      <c r="B8" s="48"/>
      <c r="C8" s="68">
        <v>416953</v>
      </c>
      <c r="D8" s="68">
        <v>826353</v>
      </c>
      <c r="E8" s="68"/>
      <c r="F8" s="68">
        <v>834481</v>
      </c>
    </row>
    <row r="9" spans="1:7" ht="12" customHeight="1" x14ac:dyDescent="0.25">
      <c r="A9" s="57" t="s">
        <v>8</v>
      </c>
      <c r="B9" s="58"/>
      <c r="C9" s="64">
        <f>722934+947372+521407</f>
        <v>2191713</v>
      </c>
      <c r="D9" s="64">
        <f>1922151+1080004+739040</f>
        <v>3741195</v>
      </c>
      <c r="E9" s="64"/>
      <c r="F9" s="64">
        <f>1931182+1080004+741089</f>
        <v>3752275</v>
      </c>
    </row>
    <row r="10" spans="1:7" ht="12" customHeight="1" thickBot="1" x14ac:dyDescent="0.3">
      <c r="C10" s="7"/>
      <c r="D10" s="7"/>
      <c r="E10" s="7"/>
      <c r="F10" s="7"/>
    </row>
    <row r="11" spans="1:7" ht="12" customHeight="1" thickBot="1" x14ac:dyDescent="0.3">
      <c r="A11" s="41" t="s">
        <v>5</v>
      </c>
      <c r="B11" s="42"/>
      <c r="C11" s="56">
        <v>8.14</v>
      </c>
      <c r="D11" s="56">
        <v>8.4</v>
      </c>
      <c r="E11" s="56"/>
      <c r="F11" s="56">
        <v>8.4</v>
      </c>
      <c r="G11" s="45"/>
    </row>
    <row r="14" spans="1:7" x14ac:dyDescent="0.25">
      <c r="A14" s="12"/>
      <c r="B14" s="15"/>
      <c r="C14" s="13"/>
      <c r="D14" s="13"/>
      <c r="F14" s="13"/>
    </row>
  </sheetData>
  <sheetProtection formatCells="0" insertRows="0" selectLockedCells="1"/>
  <protectedRanges>
    <protectedRange password="CA89" sqref="A4:G4 E5:G5 G6:G7 A12:G15 E11 G11 E8:G10 A5:B6 A8:B11" name="Range1" securityDescriptor="O:WDG:WDD:(A;;CC;;;S-1-5-21-3219648850-738124763-203175933-17295)(A;;CC;;;S-1-5-21-3219648850-738124763-203175933-17298)(A;;CC;;;S-1-5-21-3219648850-738124763-203175933-17299)"/>
    <protectedRange password="CA89" sqref="C5:D5 F11 C8:D11" name="Range1_1" securityDescriptor="O:WDG:WDD:(A;;CC;;;S-1-5-21-3219648850-738124763-203175933-17295)(A;;CC;;;S-1-5-21-3219648850-738124763-203175933-17298)(A;;CC;;;S-1-5-21-3219648850-738124763-203175933-17299)"/>
    <protectedRange password="CA89" sqref="C6: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G7:XFD7 A8:XFD8 A10:XFD1048576 G9:XFD9 A4:XFD6">
    <cfRule type="expression" priority="14" stopIfTrue="1">
      <formula>CELL("protect",A1)=1</formula>
    </cfRule>
    <cfRule type="expression" dxfId="5" priority="15">
      <formula>CELL("protect",A1)=1</formula>
    </cfRule>
  </conditionalFormatting>
  <conditionalFormatting sqref="C14:F14">
    <cfRule type="cellIs" dxfId="4" priority="11" operator="lessThan">
      <formula>0</formula>
    </cfRule>
    <cfRule type="cellIs" dxfId="3" priority="13" operator="greaterThan">
      <formula>0</formula>
    </cfRule>
  </conditionalFormatting>
  <conditionalFormatting sqref="A1:G3">
    <cfRule type="expression" priority="5" stopIfTrue="1">
      <formula>CELL("protect",A1)=1</formula>
    </cfRule>
    <cfRule type="expression" dxfId="2" priority="6">
      <formula>CELL("protect",A1)=1</formula>
    </cfRule>
  </conditionalFormatting>
  <conditionalFormatting sqref="A7:F7">
    <cfRule type="expression" priority="3" stopIfTrue="1">
      <formula>CELL("protect",A7)=1</formula>
    </cfRule>
    <cfRule type="expression" dxfId="1" priority="4">
      <formula>CELL("protect",A7)=1</formula>
    </cfRule>
  </conditionalFormatting>
  <conditionalFormatting sqref="A9:F9">
    <cfRule type="expression" priority="1" stopIfTrue="1">
      <formula>CELL("protect",A9)=1</formula>
    </cfRule>
    <cfRule type="expression" dxfId="0" priority="2">
      <formula>CELL("protect",A9)=1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Main</vt:lpstr>
      <vt:lpstr>Financial &amp; Admin Srvcs</vt:lpstr>
      <vt:lpstr>Public School Aid</vt:lpstr>
      <vt:lpstr>Learning Services</vt:lpstr>
      <vt:lpstr>Board Operated Schools</vt:lpstr>
      <vt:lpstr>MO Charter Public Commission</vt:lpstr>
      <vt:lpstr>Deaf &amp; Hard of Hearing</vt:lpstr>
      <vt:lpstr>Assistive Tech Council</vt:lpstr>
      <vt:lpstr>ColumnTitle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Main!Print_Area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Farley, Jessica</cp:lastModifiedBy>
  <cp:lastPrinted>2024-01-02T19:38:22Z</cp:lastPrinted>
  <dcterms:created xsi:type="dcterms:W3CDTF">2009-08-21T15:10:29Z</dcterms:created>
  <dcterms:modified xsi:type="dcterms:W3CDTF">2024-01-21T17:08:14Z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2023-11-17T15:39:39Z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831ecdf9-06f4-49a9-9b3e-32a7eac7ca52</vt:lpwstr>
  </property>
  <property fmtid="{D5CDD505-2E9C-101B-9397-08002B2CF9AE}" pid="9" name="MSIP_Label_defa4170-0d19-0005-0004-bc88714345d2_ActionId">
    <vt:lpwstr>8d0ecd23-4fc2-4ddc-aa69-5ad3488ac5ab</vt:lpwstr>
  </property>
  <property fmtid="{D5CDD505-2E9C-101B-9397-08002B2CF9AE}" pid="10" name="MSIP_Label_defa4170-0d19-0005-0004-bc88714345d2_ContentBits">
    <vt:lpwstr>0</vt:lpwstr>
  </property>
</Properties>
</file>